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fileSharing readOnlyRecommended="1"/>
  <workbookPr codeName="ThisWorkbook"/>
  <mc:AlternateContent xmlns:mc="http://schemas.openxmlformats.org/markup-compatibility/2006">
    <mc:Choice Requires="x15">
      <x15ac:absPath xmlns:x15ac="http://schemas.microsoft.com/office/spreadsheetml/2010/11/ac" url="https://rothoblaas-my.sharepoint.com/personal/alvise_ramazzini_rothoblaas_com/Documents/Desktop/"/>
    </mc:Choice>
  </mc:AlternateContent>
  <xr:revisionPtr revIDLastSave="176" documentId="13_ncr:1_{BE36BCF2-A28F-4919-AFC8-5463567C57D9}" xr6:coauthVersionLast="47" xr6:coauthVersionMax="47" xr10:uidLastSave="{205AAB74-7827-4CF6-B2EB-5114DEFC7708}"/>
  <workbookProtection workbookAlgorithmName="SHA-512" workbookHashValue="g2mRqfSO3TzrGrOBNErCm+BKjlA2VcsFXo7Ikd9F5hQEu3mIc2pP+Qgw+twbUZHhyGL+pEfdhKWumpjmMQsvkA==" workbookSaltValue="Qd9nVi7VtQtiaMBN27N1MQ==" workbookSpinCount="100000" lockStructure="1"/>
  <bookViews>
    <workbookView xWindow="28680" yWindow="-120" windowWidth="29040" windowHeight="15720" tabRatio="635" firstSheet="2" activeTab="2" xr2:uid="{00000000-000D-0000-FFFF-FFFF00000000}"/>
  </bookViews>
  <sheets>
    <sheet name="UV_it" sheetId="6" state="hidden" r:id="rId1"/>
    <sheet name="tabelle scheda tecnica " sheetId="7" state="hidden" r:id="rId2"/>
    <sheet name="UV_en" sheetId="8" r:id="rId3"/>
    <sheet name="tabelle scheda tecnica_en" sheetId="9" state="hidden" r:id="rId4"/>
  </sheets>
  <externalReferences>
    <externalReference r:id="rId5"/>
  </externalReferences>
  <definedNames>
    <definedName name="Applicazione" localSheetId="2">UV_en!$P$9:$P$10</definedName>
    <definedName name="Applicazione">UV_it!$O$8:$O$9</definedName>
    <definedName name="_xlnm.Print_Area" localSheetId="2">UV_en!$B$1:$M$41</definedName>
    <definedName name="_xlnm.Print_Area" localSheetId="0">UV_it!$A$1:$L$59</definedName>
    <definedName name="chiodaturaUVC" localSheetId="2">UV_en!$P$34</definedName>
    <definedName name="chiodaturaUVC">UV_it!$O$28</definedName>
    <definedName name="chiodaturaUVT" localSheetId="2">UV_en!$P$33:$P$34</definedName>
    <definedName name="chiodaturaUVT">UV_it!$O$27:$O$28</definedName>
    <definedName name="gamma_M_Holz" localSheetId="3">'[1]UV 80 (UVT60215)'!#REF!</definedName>
    <definedName name="gamma_M_Holz" localSheetId="2">'[1]UV 80 (UVT60215)'!#REF!</definedName>
    <definedName name="gamma_M_Holz">'[1]UV 80 (UVT60215)'!#REF!</definedName>
    <definedName name="gamma_M1_Verbinder" localSheetId="3">'[1]UV 80 (UVT60215)'!#REF!</definedName>
    <definedName name="gamma_M1_Verbinder" localSheetId="2">'[1]UV 80 (UVT60215)'!#REF!</definedName>
    <definedName name="gamma_M1_Verbinder">'[1]UV 80 (UVT60215)'!#REF!</definedName>
    <definedName name="gamma_M2_Verbinder" localSheetId="3">'[1]UV 80 (UVT60215)'!#REF!</definedName>
    <definedName name="gamma_M2_Verbinder" localSheetId="2">'[1]UV 80 (UVT60215)'!#REF!</definedName>
    <definedName name="gamma_M2_Verbinder">'[1]UV 80 (UVT60215)'!#REF!</definedName>
    <definedName name="k_mod" localSheetId="3">'[1]UV 80 (UVT60215)'!#REF!</definedName>
    <definedName name="k_mod" localSheetId="2">'[1]UV 80 (UVT60215)'!#REF!</definedName>
    <definedName name="k_mod">'[1]UV 80 (UVT60215)'!#REF!</definedName>
    <definedName name="roh_k" localSheetId="3">#REF!</definedName>
    <definedName name="roh_k" localSheetId="2">#REF!</definedName>
    <definedName name="roh_k">#REF!</definedName>
    <definedName name="UVC" localSheetId="2">UV_en!$R$14:$R$16</definedName>
    <definedName name="UVC">UV_it!$Q$13:$Q$15</definedName>
    <definedName name="UVT" localSheetId="2">UV_en!$R$9:$R$13</definedName>
    <definedName name="UVT">UV_it!$Q$8:$Q$12</definedName>
    <definedName name="vitiUVTaltri" localSheetId="2">UV_en!$R$23:$R$24</definedName>
    <definedName name="vitiUVTaltri">UV_it!$Q$21:$Q$22</definedName>
    <definedName name="vitiUVTpiccolo" localSheetId="2">UV_en!$R$21:$R$22</definedName>
    <definedName name="vitiUVTpiccolo">UV_it!$Q$19:$Q$20</definedName>
    <definedName name="Z_0CD160FA_77E1_425A_9118_5D753714CF1F_.wvu.Cols" localSheetId="2" hidden="1">UV_en!$N:$AA</definedName>
    <definedName name="Z_0CD160FA_77E1_425A_9118_5D753714CF1F_.wvu.Cols" localSheetId="0" hidden="1">UV_it!$M:$Z</definedName>
    <definedName name="Z_0CD160FA_77E1_425A_9118_5D753714CF1F_.wvu.PrintArea" localSheetId="2" hidden="1">UV_en!$B$1:$M$41</definedName>
    <definedName name="Z_0CD160FA_77E1_425A_9118_5D753714CF1F_.wvu.PrintArea" localSheetId="0" hidden="1">UV_it!$A$1:$L$59</definedName>
  </definedNames>
  <calcPr calcId="191028"/>
  <customWorkbookViews>
    <customWorkbookView name="stampa calcolo + listino" guid="{0CD160FA-77E1-425A-9118-5D753714CF1F}" mergeInterval="0" maximized="1" yWindow="-8" windowWidth="1936" windowHeight="1034" tabRatio="635" activeSheetId="6"/>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3" i="9" l="1"/>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8" i="9"/>
  <c r="A47" i="9"/>
  <c r="A46" i="9"/>
  <c r="A45" i="9"/>
  <c r="A44" i="9"/>
  <c r="A43" i="9"/>
  <c r="A42" i="9"/>
  <c r="A41" i="9"/>
  <c r="A40" i="9"/>
  <c r="A39" i="9"/>
  <c r="A38" i="9"/>
  <c r="A37" i="9"/>
  <c r="A36" i="9"/>
  <c r="A35" i="9"/>
  <c r="A34" i="9"/>
  <c r="Z33" i="9"/>
  <c r="A33" i="9"/>
  <c r="A32" i="9"/>
  <c r="A31" i="9"/>
  <c r="A30" i="9"/>
  <c r="A29" i="9"/>
  <c r="A28" i="9"/>
  <c r="A27" i="9"/>
  <c r="A26" i="9"/>
  <c r="A25" i="9"/>
  <c r="A24" i="9"/>
  <c r="AC23" i="9"/>
  <c r="AA23" i="9"/>
  <c r="Y23" i="9"/>
  <c r="A23" i="9"/>
  <c r="A22" i="9"/>
  <c r="A21" i="9"/>
  <c r="A20" i="9"/>
  <c r="A19" i="9"/>
  <c r="A18" i="9"/>
  <c r="A17" i="9"/>
  <c r="A16" i="9"/>
  <c r="A15" i="9"/>
  <c r="A14" i="9"/>
  <c r="A13" i="9"/>
  <c r="AB12" i="9"/>
  <c r="AA12" i="9"/>
  <c r="Z12" i="9"/>
  <c r="Y12" i="9"/>
  <c r="A12" i="9"/>
  <c r="A11" i="9"/>
  <c r="A10" i="9"/>
  <c r="A9" i="9"/>
  <c r="A8" i="9"/>
  <c r="N6" i="9"/>
  <c r="M6" i="9"/>
  <c r="L6" i="9"/>
  <c r="K6" i="9"/>
  <c r="J6" i="9"/>
  <c r="I6" i="9"/>
  <c r="H6" i="9"/>
  <c r="G6" i="9"/>
  <c r="A103" i="7"/>
  <c r="A102" i="7"/>
  <c r="A101" i="7"/>
  <c r="A100" i="7"/>
  <c r="A99" i="7"/>
  <c r="A98" i="7"/>
  <c r="A97" i="7"/>
  <c r="A96" i="7"/>
  <c r="A95" i="7"/>
  <c r="A94" i="7"/>
  <c r="A93" i="7"/>
  <c r="A92" i="7"/>
  <c r="A91" i="7"/>
  <c r="A90" i="7"/>
  <c r="A89" i="7"/>
  <c r="A88" i="7"/>
  <c r="A87" i="7"/>
  <c r="A86" i="7"/>
  <c r="A85" i="7"/>
  <c r="A84" i="7"/>
  <c r="A83" i="7"/>
  <c r="A82" i="7"/>
  <c r="A81" i="7"/>
  <c r="A80" i="7"/>
  <c r="A79" i="7"/>
  <c r="A78" i="7"/>
  <c r="A77" i="7"/>
  <c r="A76" i="7"/>
  <c r="A75" i="7"/>
  <c r="A74" i="7"/>
  <c r="A73" i="7"/>
  <c r="A72" i="7"/>
  <c r="A71" i="7"/>
  <c r="A70" i="7"/>
  <c r="A69" i="7"/>
  <c r="A68" i="7"/>
  <c r="A67" i="7"/>
  <c r="A66" i="7"/>
  <c r="A65" i="7"/>
  <c r="A64" i="7"/>
  <c r="A63" i="7"/>
  <c r="A62" i="7"/>
  <c r="A61" i="7"/>
  <c r="A60" i="7"/>
  <c r="A59" i="7"/>
  <c r="A58" i="7"/>
  <c r="A57" i="7"/>
  <c r="A56" i="7"/>
  <c r="A55" i="7"/>
  <c r="A54" i="7"/>
  <c r="A53" i="7"/>
  <c r="A52" i="7"/>
  <c r="A51" i="7"/>
  <c r="A50" i="7"/>
  <c r="A49" i="7"/>
  <c r="A48" i="7"/>
  <c r="A47" i="7"/>
  <c r="A46" i="7"/>
  <c r="A45" i="7"/>
  <c r="A44" i="7"/>
  <c r="A43" i="7"/>
  <c r="A42" i="7"/>
  <c r="A41" i="7"/>
  <c r="A40" i="7"/>
  <c r="A39" i="7"/>
  <c r="A38" i="7"/>
  <c r="A37" i="7"/>
  <c r="A36" i="7"/>
  <c r="A35" i="7"/>
  <c r="A34" i="7"/>
  <c r="Z33" i="7"/>
  <c r="A33" i="7"/>
  <c r="A32" i="7"/>
  <c r="A31" i="7"/>
  <c r="A30" i="7"/>
  <c r="A29" i="7"/>
  <c r="A28" i="7"/>
  <c r="A27" i="7"/>
  <c r="A26" i="7"/>
  <c r="A25" i="7"/>
  <c r="A24" i="7"/>
  <c r="AC23" i="7"/>
  <c r="AA23" i="7"/>
  <c r="Y23" i="7"/>
  <c r="A23" i="7"/>
  <c r="A22" i="7"/>
  <c r="A21" i="7"/>
  <c r="A20" i="7"/>
  <c r="A19" i="7"/>
  <c r="A18" i="7"/>
  <c r="A17" i="7"/>
  <c r="A16" i="7"/>
  <c r="A15" i="7"/>
  <c r="A14" i="7"/>
  <c r="A13" i="7"/>
  <c r="AB12" i="7"/>
  <c r="AA12" i="7"/>
  <c r="Z12" i="7"/>
  <c r="Y12" i="7"/>
  <c r="A12" i="7"/>
  <c r="A11" i="7"/>
  <c r="A10" i="7"/>
  <c r="A9" i="7"/>
  <c r="A8" i="7"/>
  <c r="N6" i="7"/>
  <c r="M6" i="7"/>
  <c r="L6" i="7"/>
  <c r="K6" i="7"/>
  <c r="J6" i="7"/>
  <c r="I6" i="7"/>
  <c r="H6" i="7"/>
  <c r="G6" i="7"/>
  <c r="A2" i="7"/>
  <c r="G58" i="6"/>
  <c r="G57" i="6"/>
  <c r="G56" i="6"/>
  <c r="G55" i="6"/>
  <c r="G54" i="6"/>
  <c r="G53" i="6"/>
  <c r="G52" i="6"/>
  <c r="G51" i="6"/>
  <c r="G50" i="6"/>
  <c r="G49" i="6"/>
  <c r="G48" i="6"/>
  <c r="G47" i="6"/>
  <c r="S46" i="6"/>
  <c r="Q46" i="6"/>
  <c r="G46" i="6"/>
  <c r="S45" i="6"/>
  <c r="Q45" i="6"/>
  <c r="G45" i="6"/>
  <c r="S44" i="6"/>
  <c r="Q44" i="6"/>
  <c r="G44" i="6"/>
  <c r="S43" i="6"/>
  <c r="Q43" i="6"/>
  <c r="S42" i="6"/>
  <c r="Q42" i="6"/>
  <c r="L37" i="6"/>
  <c r="J37" i="6"/>
  <c r="J36" i="6"/>
  <c r="I36" i="6"/>
  <c r="F36" i="6"/>
  <c r="E36" i="6"/>
  <c r="D36" i="6"/>
  <c r="C36" i="6"/>
  <c r="B36" i="6"/>
  <c r="A36" i="6"/>
  <c r="O35" i="6"/>
  <c r="J35" i="6"/>
  <c r="I35" i="6"/>
  <c r="F35" i="6"/>
  <c r="E35" i="6"/>
  <c r="D35" i="6"/>
  <c r="C35" i="6"/>
  <c r="B35" i="6"/>
  <c r="A35" i="6"/>
  <c r="O34" i="6"/>
  <c r="J34" i="6"/>
  <c r="I34" i="6"/>
  <c r="F34" i="6"/>
  <c r="E34" i="6"/>
  <c r="D34" i="6"/>
  <c r="C34" i="6"/>
  <c r="B34" i="6"/>
  <c r="A34" i="6"/>
  <c r="O33" i="6"/>
  <c r="J33" i="6"/>
  <c r="I33" i="6"/>
  <c r="F33" i="6"/>
  <c r="E33" i="6"/>
  <c r="D33" i="6"/>
  <c r="C33" i="6"/>
  <c r="B33" i="6"/>
  <c r="A33" i="6"/>
  <c r="R32" i="6"/>
  <c r="O32" i="6"/>
  <c r="I32" i="6"/>
  <c r="F32" i="6"/>
  <c r="J31" i="6"/>
  <c r="P26" i="6"/>
  <c r="E23" i="6"/>
  <c r="E22" i="6"/>
  <c r="G21" i="6"/>
  <c r="E21" i="6"/>
  <c r="E20" i="6"/>
  <c r="S17" i="6"/>
  <c r="Q17" i="6"/>
  <c r="O17" i="6"/>
  <c r="D15" i="6"/>
  <c r="R6" i="6"/>
  <c r="Q6" i="6"/>
  <c r="P6" i="6"/>
  <c r="O6" i="6"/>
  <c r="T52" i="8"/>
  <c r="R52" i="8"/>
  <c r="T51" i="8"/>
  <c r="R51" i="8"/>
  <c r="T50" i="8"/>
  <c r="R50" i="8"/>
  <c r="T49" i="8"/>
  <c r="R49" i="8"/>
  <c r="T48" i="8"/>
  <c r="R48" i="8"/>
  <c r="P41" i="8"/>
  <c r="F25" i="8"/>
  <c r="E25" i="8"/>
  <c r="P40" i="8"/>
  <c r="F24" i="8"/>
  <c r="E24" i="8"/>
  <c r="P39" i="8"/>
  <c r="G23" i="8"/>
  <c r="F23" i="8"/>
  <c r="E23" i="8"/>
  <c r="S38" i="8"/>
  <c r="A2" i="9" s="1"/>
  <c r="P38" i="8"/>
  <c r="R18" i="8"/>
  <c r="P18" i="8"/>
  <c r="E15" i="8"/>
  <c r="R7" i="8"/>
  <c r="P7" i="8"/>
  <c r="T18" i="8" l="1"/>
  <c r="F26" i="8"/>
  <c r="E26" i="8"/>
  <c r="G25" i="8"/>
  <c r="S7" i="8"/>
  <c r="G24" i="8"/>
  <c r="Q32" i="8"/>
  <c r="Q7" i="8"/>
  <c r="G26"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Manuela Chiodega</author>
  </authors>
  <commentList>
    <comment ref="D54" authorId="0" shapeId="0" xr:uid="{E05D75BA-2421-45D5-BE3A-9DB3E8285269}">
      <text>
        <r>
          <rPr>
            <b/>
            <sz val="9"/>
            <rFont val="Tahoma"/>
            <family val="2"/>
          </rPr>
          <t>Manuela Chiodega:</t>
        </r>
        <r>
          <rPr>
            <sz val="9"/>
            <rFont val="Tahoma"/>
            <family val="2"/>
          </rPr>
          <t xml:space="preserve">
lasciare spazio davanti perché conta "destra 7"
</t>
        </r>
      </text>
    </comment>
    <comment ref="D55" authorId="0" shapeId="0" xr:uid="{73D31990-47A3-4900-95B2-802B5D4E81EA}">
      <text>
        <r>
          <rPr>
            <b/>
            <sz val="9"/>
            <rFont val="Tahoma"/>
            <family val="2"/>
          </rPr>
          <t>Manuela Chiodega:</t>
        </r>
        <r>
          <rPr>
            <sz val="9"/>
            <rFont val="Tahoma"/>
            <family val="2"/>
          </rPr>
          <t xml:space="preserve">
lasciare spazio davanti perché conta "destra 7"</t>
        </r>
      </text>
    </comment>
  </commentList>
</comments>
</file>

<file path=xl/sharedStrings.xml><?xml version="1.0" encoding="utf-8"?>
<sst xmlns="http://schemas.openxmlformats.org/spreadsheetml/2006/main" count="2181" uniqueCount="122">
  <si>
    <r>
      <t xml:space="preserve">CONNNETTORE A SCOMPARSA UV-T / UV-C
</t>
    </r>
    <r>
      <rPr>
        <b/>
        <i/>
        <sz val="12"/>
        <color theme="0"/>
        <rFont val="Arial Narrow"/>
        <family val="2"/>
      </rPr>
      <t>Calcolo quantità e prezzo finale</t>
    </r>
  </si>
  <si>
    <t>PRIMA DI INZIARE: in alto compare l'AVVISO DI SICUREZZA di Excel, cliccare su "Abilita contenuto" per attivare le Macro e abilitare il calcolo.</t>
  </si>
  <si>
    <r>
      <t>ISTRUZIONI:
Per effettuare il calcolo è necessario compilare le celle azzurre relative al tipo di applicaizone e alla scontistica sui prezzi di listino. In caso di testi in rosso significa che la combinazione selezionata "applicazione+connettore+vite+tipo di chiodatura" non esiste, in questo caso è necessario modificare i campi con testo in rosso selezionando dal menu a tendina che renderà ora visibili solamente le scelte possibili. In alternativa è sempre possibile resettare tutti campi cliccando su "</t>
    </r>
    <r>
      <rPr>
        <b/>
        <sz val="10"/>
        <color theme="1"/>
        <rFont val="Arial Narrow"/>
        <family val="2"/>
      </rPr>
      <t>Esegui nuovo calcolo</t>
    </r>
    <r>
      <rPr>
        <i/>
        <sz val="10"/>
        <color theme="1"/>
        <rFont val="Arial Narrow"/>
        <family val="2"/>
      </rPr>
      <t xml:space="preserve">" per cancellare tutti i contenuti inseriti nelle celle azzure e ripartire con un nuovo calcolo.
NB: A fondo pagina è presente la tabella con i prezzi di listino estratti da RothoDispo in data 28/02/2018. E' sempre possibile personalizzare i prezzi di listino (ad esempio in funzione del Paese) e/o le quantità per confezione (ad esempio per variazioni a catalogo) modificando solamente le celle arancioni (è consiglibile farlo una volta sola e poi non toccare più niente).  Allo stesso modo è possibile modificare la valùta (€, CAD, USD) selezionando dal menu a tendina (cella G43), questo comporta solo una modifica dell'unità di misura nella tabella riassuntiva che è possibile stampare. </t>
    </r>
  </si>
  <si>
    <t>INDICE</t>
  </si>
  <si>
    <t>elenco indiretto</t>
  </si>
  <si>
    <t>APPLICAZIONE</t>
  </si>
  <si>
    <t>CONNETTORE UVT</t>
  </si>
  <si>
    <t>associaizone viti</t>
  </si>
  <si>
    <t xml:space="preserve">NOTA: </t>
  </si>
  <si>
    <t>LEGNO - LEGNO</t>
  </si>
  <si>
    <t>UVT</t>
  </si>
  <si>
    <t>UVT3070</t>
  </si>
  <si>
    <t>vitiUVTpiccolo</t>
  </si>
  <si>
    <t>formattazione condizionale su cella D10: testo in rosso se combinazione non possibile ovvero: UVT3070 con VGS o tutti gli altri con HBS..</t>
  </si>
  <si>
    <t>CONNETTORE</t>
  </si>
  <si>
    <t>LEGNO - CEMENTO</t>
  </si>
  <si>
    <t>UVC</t>
  </si>
  <si>
    <t>UVT4085</t>
  </si>
  <si>
    <t>vitiUVTaltri</t>
  </si>
  <si>
    <t>UVT60115</t>
  </si>
  <si>
    <t>VITE 90° -LBS Ø5</t>
  </si>
  <si>
    <t>UVT60160</t>
  </si>
  <si>
    <t>UVT60215</t>
  </si>
  <si>
    <t xml:space="preserve">VITE 45° </t>
  </si>
  <si>
    <t>UVC60115</t>
  </si>
  <si>
    <t>UVC60160</t>
  </si>
  <si>
    <t>ANCORANTE CEMENTO</t>
  </si>
  <si>
    <t>UVC60215</t>
  </si>
  <si>
    <t>TIPO CHIODATURA</t>
  </si>
  <si>
    <t>VITE Ø5</t>
  </si>
  <si>
    <t xml:space="preserve">VITE 45° UV </t>
  </si>
  <si>
    <t>SKS</t>
  </si>
  <si>
    <t>LBS 5,0x50 - LBS550</t>
  </si>
  <si>
    <t>HBS 4,0x50 - HBS450</t>
  </si>
  <si>
    <t>SKS10100CE</t>
  </si>
  <si>
    <r>
      <t>R</t>
    </r>
    <r>
      <rPr>
        <b/>
        <vertAlign val="subscript"/>
        <sz val="12"/>
        <color theme="1"/>
        <rFont val="Calibri"/>
        <family val="2"/>
        <scheme val="minor"/>
      </rPr>
      <t>1,Rk</t>
    </r>
  </si>
  <si>
    <t>kN</t>
  </si>
  <si>
    <t>LBS 5,0x60 - LBS560</t>
  </si>
  <si>
    <t>HBS 4,0x70 - HBS470</t>
  </si>
  <si>
    <t>RESISTENZE 
CARATTERISTICHE</t>
  </si>
  <si>
    <r>
      <t>R</t>
    </r>
    <r>
      <rPr>
        <b/>
        <vertAlign val="subscript"/>
        <sz val="12"/>
        <color theme="1"/>
        <rFont val="Calibri"/>
        <family val="2"/>
        <scheme val="minor"/>
      </rPr>
      <t>2,Rk</t>
    </r>
  </si>
  <si>
    <t>LBS 5,0x70 - LBS570</t>
  </si>
  <si>
    <t>VGS 6,0x100 - VGS6100</t>
  </si>
  <si>
    <r>
      <t>R</t>
    </r>
    <r>
      <rPr>
        <b/>
        <vertAlign val="subscript"/>
        <sz val="12"/>
        <color theme="1"/>
        <rFont val="Calibri"/>
        <family val="2"/>
        <scheme val="minor"/>
      </rPr>
      <t>3,Rk</t>
    </r>
  </si>
  <si>
    <t>VGS 6,0x160 - VGS6160</t>
  </si>
  <si>
    <r>
      <t>R</t>
    </r>
    <r>
      <rPr>
        <b/>
        <vertAlign val="subscript"/>
        <sz val="12"/>
        <color theme="1"/>
        <rFont val="Calibri"/>
        <family val="2"/>
        <scheme val="minor"/>
      </rPr>
      <t>4,Rk</t>
    </r>
  </si>
  <si>
    <t>NUMERO GIUNZIONI 
DA REALIZZARE (NODI)</t>
  </si>
  <si>
    <t>PARZIALE</t>
  </si>
  <si>
    <t>chiodaturaUVT</t>
  </si>
  <si>
    <t>TOTALE</t>
  </si>
  <si>
    <t>chiodaturaUVC</t>
  </si>
  <si>
    <t xml:space="preserve"> CERCA RESISTENZE</t>
  </si>
  <si>
    <t>SISTEMA</t>
  </si>
  <si>
    <t>TOT. [pz.]</t>
  </si>
  <si>
    <t>PZ/BOX</t>
  </si>
  <si>
    <r>
      <t>BOX</t>
    </r>
    <r>
      <rPr>
        <b/>
        <i/>
        <sz val="10"/>
        <rFont val="Arial Narrow"/>
        <family val="2"/>
      </rPr>
      <t xml:space="preserve">  [pz.]</t>
    </r>
  </si>
  <si>
    <t>PREZZO CONNETTORE</t>
  </si>
  <si>
    <t>CONCATENA  1</t>
  </si>
  <si>
    <t>CONCATENA  2</t>
  </si>
  <si>
    <t xml:space="preserve">Connettore </t>
  </si>
  <si>
    <t>CODICE</t>
  </si>
  <si>
    <t>SCONTISTICA [%]</t>
  </si>
  <si>
    <t>PERSONALIZZA LISTINO</t>
  </si>
  <si>
    <t xml:space="preserve">CODICE
Rotho </t>
  </si>
  <si>
    <t>applicaz</t>
  </si>
  <si>
    <t>full screw pattern</t>
  </si>
  <si>
    <t>partial screw pattern</t>
  </si>
  <si>
    <t>E' possibile aggiornare i prezzi di listino, i pezzi a confezione e la valùta: modificare solo i valori nelle celle arancioni.</t>
  </si>
  <si>
    <t>Header + Joist</t>
  </si>
  <si>
    <t>Joist</t>
  </si>
  <si>
    <r>
      <t>n</t>
    </r>
    <r>
      <rPr>
        <vertAlign val="subscript"/>
        <sz val="11"/>
        <color theme="1"/>
        <rFont val="Calibri"/>
        <family val="2"/>
        <scheme val="minor"/>
      </rPr>
      <t xml:space="preserve">H,90 + </t>
    </r>
    <r>
      <rPr>
        <sz val="11"/>
        <color theme="1"/>
        <rFont val="Calibri"/>
        <family val="2"/>
        <scheme val="minor"/>
      </rPr>
      <t>n</t>
    </r>
    <r>
      <rPr>
        <vertAlign val="subscript"/>
        <sz val="11"/>
        <color theme="1"/>
        <rFont val="Calibri"/>
        <family val="2"/>
        <scheme val="minor"/>
      </rPr>
      <t xml:space="preserve">J,90 </t>
    </r>
    <r>
      <rPr>
        <sz val="11"/>
        <color theme="1"/>
        <rFont val="Calibri"/>
        <family val="2"/>
        <scheme val="minor"/>
      </rPr>
      <t xml:space="preserve">LBSØ5 </t>
    </r>
  </si>
  <si>
    <r>
      <t>n</t>
    </r>
    <r>
      <rPr>
        <vertAlign val="subscript"/>
        <sz val="10"/>
        <rFont val="Arial"/>
        <family val="2"/>
      </rPr>
      <t>J,45</t>
    </r>
    <r>
      <rPr>
        <sz val="10"/>
        <rFont val="Arial"/>
        <family val="2"/>
      </rPr>
      <t xml:space="preserve"> HBSØ4 / VGSØ6</t>
    </r>
  </si>
  <si>
    <t>CODICI</t>
  </si>
  <si>
    <t xml:space="preserve">PREZZO LISTINO
</t>
  </si>
  <si>
    <t>VALÚTA
(seleziona da tendina)</t>
  </si>
  <si>
    <t>legno</t>
  </si>
  <si>
    <t>€</t>
  </si>
  <si>
    <t>cls</t>
  </si>
  <si>
    <t>-</t>
  </si>
  <si>
    <t>nota: per l'applicazione cls c'è solo chiodatura totale</t>
  </si>
  <si>
    <t>LBS550</t>
  </si>
  <si>
    <t>LBS560</t>
  </si>
  <si>
    <t>LBS570</t>
  </si>
  <si>
    <t xml:space="preserve"> HBS450</t>
  </si>
  <si>
    <t>rev00 - 01.03.2018</t>
  </si>
  <si>
    <t xml:space="preserve"> HBS470</t>
  </si>
  <si>
    <t>Valuta</t>
  </si>
  <si>
    <t>VGS6100</t>
  </si>
  <si>
    <t>Euro</t>
  </si>
  <si>
    <t>VGS6160</t>
  </si>
  <si>
    <t xml:space="preserve">CAD </t>
  </si>
  <si>
    <t>Canadian Dollar</t>
  </si>
  <si>
    <t>USD</t>
  </si>
  <si>
    <t>US Dollar</t>
  </si>
  <si>
    <t>VITI 45°</t>
  </si>
  <si>
    <t xml:space="preserve">VITI 90° </t>
  </si>
  <si>
    <t>LBS 5,0x50 - PF603550</t>
  </si>
  <si>
    <t xml:space="preserve">NOTA PER CHI MODIFICA IL FILE (non per utilizzatori ma per Editor!): </t>
  </si>
  <si>
    <t xml:space="preserve">Prima di far partire queste Macro sbloccare i fogli </t>
  </si>
  <si>
    <t>Il Foglio "Tabelle schede tecnica" va nascosto</t>
  </si>
  <si>
    <t>LBS 5,0x60 - PF603560</t>
  </si>
  <si>
    <t>LBS 5,0x70 - PF603570</t>
  </si>
  <si>
    <t>APPLICATION</t>
  </si>
  <si>
    <t>TIMBER - TIMBER</t>
  </si>
  <si>
    <t>CONNECTOR</t>
  </si>
  <si>
    <t>TIMBER - CONCRETE</t>
  </si>
  <si>
    <t>SCREW 90° -LBS Ø5</t>
  </si>
  <si>
    <t xml:space="preserve">SCREW 45° </t>
  </si>
  <si>
    <t>CONCRETE ANCHOR</t>
  </si>
  <si>
    <t>FASTENER PATTERN</t>
  </si>
  <si>
    <t>TOTAL</t>
  </si>
  <si>
    <t>NUMBER OF CONNECTIONS</t>
  </si>
  <si>
    <t>PARTIAL</t>
  </si>
  <si>
    <t>CODE</t>
  </si>
  <si>
    <t>TOT. [pcs]</t>
  </si>
  <si>
    <t>ITEM</t>
  </si>
  <si>
    <t>UV T FASTENER QUANTITY CALCULATION</t>
  </si>
  <si>
    <t>UV T fastener quantity calculator_V1.00</t>
  </si>
  <si>
    <t>GENERAL NOTES:</t>
  </si>
  <si>
    <t>1. The information and calculations provided in this Excel tool are intended to be used for general purposes. Rothoblaas aims to keep all information current and complete but can not make warranties or assume liability through the use of this tool.</t>
  </si>
  <si>
    <t>2. Rothoblaas reserves the right to update or change calculations methods, designs, or models without notice or liability. Visit www.rothoblaas.com for the most up-to-date design resources.</t>
  </si>
  <si>
    <t>3. All images are provided for reference only and actual conditions may vary on 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</si>
</sst>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 &quot;HBS Ø4&quot;"/>
    <numFmt numFmtId="165" formatCode="0\ &quot;VGS Ø6&quot;"/>
    <numFmt numFmtId="166" formatCode="0\ &quot;SKS CE Ø10&quot;"/>
    <numFmt numFmtId="167" formatCode="0\ &quot;LBS Ø5&quot;"/>
    <numFmt numFmtId="168" formatCode="0.0"/>
    <numFmt numFmtId="169" formatCode="0.000"/>
    <numFmt numFmtId="170" formatCode="_-* #,##0_-;\-* #,##0_-;_-* &quot;-&quot;??_-;_-@_-"/>
  </numFmts>
  <fonts count="60" x14ac:knownFonts="1">
    <font>
      <sz val="10"/>
      <name val="Arial"/>
      <family val="2"/>
    </font>
    <font>
      <sz val="11"/>
      <color theme="1"/>
      <name val="Calibri"/>
      <family val="2"/>
      <scheme val="minor"/>
    </font>
    <font>
      <sz val="11"/>
      <color theme="1"/>
      <name val="Calibri"/>
      <family val="2"/>
      <scheme val="minor"/>
    </font>
    <font>
      <b/>
      <sz val="11"/>
      <name val="Arial Narrow"/>
      <family val="2"/>
    </font>
    <font>
      <sz val="10"/>
      <name val="Arial Narrow"/>
      <family val="2"/>
    </font>
    <font>
      <i/>
      <sz val="10"/>
      <name val="Arial Narrow"/>
      <family val="2"/>
    </font>
    <font>
      <b/>
      <sz val="10"/>
      <name val="Arial Narrow"/>
      <family val="2"/>
    </font>
    <font>
      <b/>
      <i/>
      <sz val="10"/>
      <name val="Arial Narrow"/>
      <family val="2"/>
    </font>
    <font>
      <i/>
      <u/>
      <sz val="10"/>
      <name val="Arial Narrow"/>
      <family val="2"/>
    </font>
    <font>
      <sz val="9"/>
      <name val="Arial Narrow"/>
      <family val="2"/>
    </font>
    <font>
      <sz val="10"/>
      <color rgb="FF2EA5EE"/>
      <name val="Arial Narrow"/>
      <family val="2"/>
    </font>
    <font>
      <b/>
      <i/>
      <sz val="14"/>
      <color theme="0"/>
      <name val="Arial Narrow"/>
      <family val="2"/>
    </font>
    <font>
      <sz val="8"/>
      <color rgb="FF0070C0"/>
      <name val="Arial Narrow"/>
      <family val="2"/>
    </font>
    <font>
      <b/>
      <sz val="11"/>
      <color theme="1"/>
      <name val="Calibri"/>
      <family val="2"/>
      <scheme val="minor"/>
    </font>
    <font>
      <vertAlign val="subscript"/>
      <sz val="11"/>
      <color theme="1"/>
      <name val="Calibri"/>
      <family val="2"/>
      <scheme val="minor"/>
    </font>
    <font>
      <vertAlign val="subscript"/>
      <sz val="10"/>
      <name val="Arial"/>
      <family val="2"/>
    </font>
    <font>
      <i/>
      <sz val="10"/>
      <color theme="1"/>
      <name val="Calibri"/>
      <family val="2"/>
      <scheme val="minor"/>
    </font>
    <font>
      <i/>
      <sz val="10"/>
      <color rgb="FF2EA5EE"/>
      <name val="Arial Narrow"/>
      <family val="2"/>
    </font>
    <font>
      <sz val="11"/>
      <color rgb="FFFF0000"/>
      <name val="Calibri"/>
      <family val="2"/>
      <scheme val="minor"/>
    </font>
    <font>
      <i/>
      <sz val="9"/>
      <name val="Arial"/>
      <family val="2"/>
    </font>
    <font>
      <b/>
      <sz val="14"/>
      <color theme="1"/>
      <name val="Calibri"/>
      <family val="2"/>
      <scheme val="minor"/>
    </font>
    <font>
      <b/>
      <sz val="12"/>
      <color theme="1"/>
      <name val="Calibri"/>
      <family val="2"/>
      <scheme val="minor"/>
    </font>
    <font>
      <b/>
      <vertAlign val="subscript"/>
      <sz val="12"/>
      <color theme="1"/>
      <name val="Calibri"/>
      <family val="2"/>
      <scheme val="minor"/>
    </font>
    <font>
      <b/>
      <sz val="11"/>
      <name val="Calibri"/>
      <family val="2"/>
    </font>
    <font>
      <sz val="11"/>
      <name val="Calibri"/>
      <family val="2"/>
    </font>
    <font>
      <b/>
      <sz val="11"/>
      <color rgb="FF000000"/>
      <name val="Calibri"/>
      <family val="2"/>
    </font>
    <font>
      <sz val="11"/>
      <color rgb="FF000000"/>
      <name val="Calibri"/>
      <family val="2"/>
    </font>
    <font>
      <b/>
      <sz val="11"/>
      <color rgb="FF00B0F0"/>
      <name val="Calibri"/>
      <family val="2"/>
      <scheme val="minor"/>
    </font>
    <font>
      <b/>
      <i/>
      <u/>
      <sz val="10"/>
      <name val="Arial Narrow"/>
      <family val="2"/>
    </font>
    <font>
      <b/>
      <sz val="11"/>
      <name val="Arial"/>
      <family val="2"/>
    </font>
    <font>
      <sz val="9"/>
      <name val="Tahoma"/>
      <family val="2"/>
    </font>
    <font>
      <b/>
      <sz val="9"/>
      <name val="Tahoma"/>
      <family val="2"/>
    </font>
    <font>
      <i/>
      <sz val="8"/>
      <color rgb="FFFF0000"/>
      <name val="Arial Narrow"/>
      <family val="2"/>
    </font>
    <font>
      <i/>
      <sz val="8"/>
      <color rgb="FFFF0000"/>
      <name val="Arial"/>
      <family val="2"/>
    </font>
    <font>
      <i/>
      <sz val="10"/>
      <color theme="1"/>
      <name val="Arial Narrow"/>
      <family val="2"/>
    </font>
    <font>
      <b/>
      <sz val="10"/>
      <color theme="1"/>
      <name val="Arial Narrow"/>
      <family val="2"/>
    </font>
    <font>
      <i/>
      <sz val="7"/>
      <name val="Arial"/>
      <family val="2"/>
    </font>
    <font>
      <i/>
      <u/>
      <sz val="9"/>
      <name val="Arial Narrow"/>
      <family val="2"/>
    </font>
    <font>
      <b/>
      <i/>
      <sz val="12"/>
      <color theme="0"/>
      <name val="Arial Narrow"/>
      <family val="2"/>
    </font>
    <font>
      <i/>
      <sz val="9"/>
      <name val="Arial Narrow"/>
      <family val="2"/>
    </font>
    <font>
      <sz val="9"/>
      <name val="Arial"/>
      <family val="2"/>
    </font>
    <font>
      <sz val="9"/>
      <color rgb="FFFF0000"/>
      <name val="Arial Narrow"/>
      <family val="2"/>
    </font>
    <font>
      <i/>
      <sz val="9"/>
      <color rgb="FFFF0000"/>
      <name val="Arial Narrow"/>
      <family val="2"/>
    </font>
    <font>
      <sz val="10"/>
      <color theme="0" tint="-0.34995574816125979"/>
      <name val="Arial Narrow"/>
      <family val="2"/>
    </font>
    <font>
      <sz val="10"/>
      <name val="Arial"/>
      <family val="2"/>
    </font>
    <font>
      <b/>
      <sz val="10"/>
      <color rgb="FF0066CC"/>
      <name val="Arial Narrow"/>
      <family val="2"/>
    </font>
    <font>
      <b/>
      <sz val="8"/>
      <color rgb="FF000000"/>
      <name val="Arial Narrow"/>
      <family val="2"/>
    </font>
    <font>
      <sz val="10"/>
      <color rgb="FF000000"/>
      <name val="Arial"/>
      <family val="2"/>
    </font>
    <font>
      <i/>
      <sz val="8"/>
      <color theme="1"/>
      <name val="Verdana"/>
      <family val="2"/>
    </font>
    <font>
      <sz val="8"/>
      <name val="Verdana"/>
      <family val="2"/>
    </font>
    <font>
      <i/>
      <sz val="8"/>
      <name val="Verdana"/>
      <family val="2"/>
    </font>
    <font>
      <b/>
      <sz val="8"/>
      <name val="Verdana"/>
      <family val="2"/>
    </font>
    <font>
      <b/>
      <i/>
      <sz val="9"/>
      <color theme="0"/>
      <name val="Verdana"/>
      <family val="2"/>
    </font>
    <font>
      <sz val="8"/>
      <color theme="0"/>
      <name val="Verdana"/>
      <family val="2"/>
    </font>
    <font>
      <b/>
      <sz val="8"/>
      <color theme="1"/>
      <name val="Verdana"/>
      <family val="2"/>
    </font>
    <font>
      <sz val="8"/>
      <color theme="1"/>
      <name val="Verdana"/>
      <family val="2"/>
    </font>
    <font>
      <sz val="10"/>
      <name val="Verdana"/>
      <family val="2"/>
    </font>
    <font>
      <i/>
      <sz val="10"/>
      <name val="Verdana"/>
      <family val="2"/>
    </font>
    <font>
      <b/>
      <i/>
      <sz val="10"/>
      <name val="Verdana"/>
      <family val="2"/>
    </font>
    <font>
      <b/>
      <sz val="10"/>
      <name val="Verdana"/>
      <family val="2"/>
    </font>
  </fonts>
  <fills count="15">
    <fill>
      <patternFill patternType="none"/>
    </fill>
    <fill>
      <patternFill patternType="gray125"/>
    </fill>
    <fill>
      <patternFill patternType="solid">
        <fgColor theme="8" tint="0.59996337778862885"/>
        <bgColor indexed="64"/>
      </patternFill>
    </fill>
    <fill>
      <patternFill patternType="solid">
        <fgColor rgb="FF00B0F0"/>
        <bgColor indexed="64"/>
      </patternFill>
    </fill>
    <fill>
      <patternFill patternType="solid">
        <fgColor rgb="FFFFC000"/>
        <bgColor indexed="64"/>
      </patternFill>
    </fill>
    <fill>
      <patternFill patternType="solid">
        <fgColor theme="0" tint="-4.9958800012207406E-2"/>
        <bgColor indexed="64"/>
      </patternFill>
    </fill>
    <fill>
      <patternFill patternType="solid">
        <fgColor theme="0" tint="-0.14996795556505021"/>
        <bgColor indexed="64"/>
      </patternFill>
    </fill>
    <fill>
      <patternFill patternType="solid">
        <fgColor rgb="FF6DD9FF"/>
        <bgColor indexed="64"/>
      </patternFill>
    </fill>
    <fill>
      <patternFill patternType="solid">
        <fgColor theme="9" tint="0.39997558519241921"/>
        <bgColor indexed="64"/>
      </patternFill>
    </fill>
    <fill>
      <patternFill patternType="solid">
        <fgColor rgb="FFFFFF00"/>
        <bgColor indexed="64"/>
      </patternFill>
    </fill>
    <fill>
      <patternFill patternType="solid">
        <fgColor theme="1"/>
        <bgColor indexed="64"/>
      </patternFill>
    </fill>
    <fill>
      <patternFill patternType="solid">
        <fgColor theme="3" tint="0.59996337778862885"/>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s>
  <borders count="61">
    <border>
      <left/>
      <right/>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bottom/>
      <diagonal/>
    </border>
    <border>
      <left style="medium">
        <color auto="1"/>
      </left>
      <right/>
      <top style="medium">
        <color auto="1"/>
      </top>
      <bottom/>
      <diagonal/>
    </border>
    <border>
      <left style="thin">
        <color auto="1"/>
      </left>
      <right/>
      <top style="medium">
        <color auto="1"/>
      </top>
      <bottom/>
      <diagonal/>
    </border>
    <border>
      <left style="thin">
        <color auto="1"/>
      </left>
      <right/>
      <top style="thin">
        <color auto="1"/>
      </top>
      <bottom/>
      <diagonal/>
    </border>
    <border>
      <left style="thin">
        <color auto="1"/>
      </left>
      <right/>
      <top/>
      <bottom style="medium">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right style="thin">
        <color auto="1"/>
      </right>
      <top/>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medium">
        <color auto="1"/>
      </bottom>
      <diagonal/>
    </border>
    <border>
      <left style="medium">
        <color auto="1"/>
      </left>
      <right style="thin">
        <color auto="1"/>
      </right>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medium">
        <color auto="1"/>
      </right>
      <top style="thin">
        <color auto="1"/>
      </top>
      <bottom/>
      <diagonal/>
    </border>
    <border>
      <left style="thin">
        <color auto="1"/>
      </left>
      <right/>
      <top style="thin">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style="thin">
        <color auto="1"/>
      </right>
      <top style="thin">
        <color auto="1"/>
      </top>
      <bottom/>
      <diagonal/>
    </border>
    <border>
      <left/>
      <right style="thin">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thin">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diagonal/>
    </border>
    <border>
      <left/>
      <right/>
      <top style="medium">
        <color auto="1"/>
      </top>
      <bottom style="thin">
        <color auto="1"/>
      </bottom>
      <diagonal/>
    </border>
  </borders>
  <cellStyleXfs count="4">
    <xf numFmtId="0" fontId="0" fillId="0" borderId="0"/>
    <xf numFmtId="43" fontId="44" fillId="0" borderId="0" applyFont="0" applyFill="0" applyBorder="0" applyAlignment="0" applyProtection="0"/>
    <xf numFmtId="0" fontId="44" fillId="0" borderId="0"/>
    <xf numFmtId="0" fontId="2" fillId="0" borderId="0"/>
  </cellStyleXfs>
  <cellXfs count="331">
    <xf numFmtId="0" fontId="0" fillId="0" borderId="0" xfId="0"/>
    <xf numFmtId="0" fontId="0" fillId="0" borderId="0" xfId="0" applyProtection="1">
      <protection hidden="1"/>
    </xf>
    <xf numFmtId="0" fontId="4" fillId="0" borderId="0" xfId="0" applyFont="1" applyProtection="1">
      <protection hidden="1"/>
    </xf>
    <xf numFmtId="0" fontId="4" fillId="0" borderId="1" xfId="0" applyFont="1" applyBorder="1" applyProtection="1">
      <protection hidden="1"/>
    </xf>
    <xf numFmtId="0" fontId="4" fillId="0" borderId="2" xfId="0" applyFont="1" applyBorder="1" applyProtection="1">
      <protection hidden="1"/>
    </xf>
    <xf numFmtId="0" fontId="4" fillId="0" borderId="3" xfId="0" applyFont="1" applyBorder="1" applyProtection="1">
      <protection hidden="1"/>
    </xf>
    <xf numFmtId="0" fontId="4" fillId="0" borderId="4" xfId="0" applyFont="1" applyBorder="1" applyProtection="1">
      <protection hidden="1"/>
    </xf>
    <xf numFmtId="0" fontId="4" fillId="0" borderId="5" xfId="0" applyFont="1" applyBorder="1" applyProtection="1">
      <protection hidden="1"/>
    </xf>
    <xf numFmtId="0" fontId="4" fillId="0" borderId="6" xfId="0" applyFont="1" applyBorder="1" applyProtection="1">
      <protection hidden="1"/>
    </xf>
    <xf numFmtId="0" fontId="10" fillId="0" borderId="6" xfId="0" applyFont="1" applyBorder="1" applyAlignment="1" applyProtection="1">
      <alignment horizontal="center"/>
      <protection hidden="1"/>
    </xf>
    <xf numFmtId="0" fontId="7" fillId="2" borderId="6" xfId="0" applyFont="1" applyFill="1" applyBorder="1" applyProtection="1">
      <protection hidden="1"/>
    </xf>
    <xf numFmtId="0" fontId="10" fillId="0" borderId="7" xfId="0" applyFont="1" applyBorder="1" applyProtection="1">
      <protection hidden="1"/>
    </xf>
    <xf numFmtId="0" fontId="10" fillId="0" borderId="1" xfId="0" applyFont="1" applyBorder="1" applyAlignment="1" applyProtection="1">
      <alignment horizontal="center"/>
      <protection hidden="1"/>
    </xf>
    <xf numFmtId="0" fontId="7" fillId="2" borderId="1" xfId="0" applyFont="1" applyFill="1" applyBorder="1" applyProtection="1">
      <protection hidden="1"/>
    </xf>
    <xf numFmtId="0" fontId="10" fillId="0" borderId="8" xfId="0" applyFont="1" applyBorder="1" applyAlignment="1" applyProtection="1">
      <alignment wrapText="1"/>
      <protection hidden="1"/>
    </xf>
    <xf numFmtId="0" fontId="17" fillId="0" borderId="9" xfId="0" applyFont="1" applyBorder="1" applyAlignment="1" applyProtection="1">
      <alignment wrapText="1"/>
      <protection hidden="1"/>
    </xf>
    <xf numFmtId="0" fontId="4" fillId="0" borderId="10" xfId="0" applyFont="1" applyBorder="1" applyProtection="1">
      <protection hidden="1"/>
    </xf>
    <xf numFmtId="0" fontId="10" fillId="0" borderId="2" xfId="0" applyFont="1" applyBorder="1" applyAlignment="1" applyProtection="1">
      <alignment horizontal="center"/>
      <protection hidden="1"/>
    </xf>
    <xf numFmtId="0" fontId="7" fillId="2" borderId="2" xfId="0" applyFont="1" applyFill="1" applyBorder="1" applyProtection="1">
      <protection hidden="1"/>
    </xf>
    <xf numFmtId="0" fontId="10" fillId="0" borderId="7" xfId="0" applyFont="1" applyBorder="1" applyAlignment="1" applyProtection="1">
      <alignment horizontal="center"/>
      <protection hidden="1"/>
    </xf>
    <xf numFmtId="0" fontId="17" fillId="0" borderId="2" xfId="0" applyFont="1" applyBorder="1" applyAlignment="1" applyProtection="1">
      <alignment wrapText="1"/>
      <protection hidden="1"/>
    </xf>
    <xf numFmtId="0" fontId="10" fillId="0" borderId="11" xfId="0" applyFont="1" applyBorder="1" applyAlignment="1" applyProtection="1">
      <alignment wrapText="1"/>
      <protection hidden="1"/>
    </xf>
    <xf numFmtId="0" fontId="4" fillId="0" borderId="8" xfId="0" applyFont="1" applyBorder="1" applyProtection="1">
      <protection hidden="1"/>
    </xf>
    <xf numFmtId="0" fontId="4" fillId="0" borderId="12" xfId="0" applyFont="1" applyBorder="1" applyAlignment="1" applyProtection="1">
      <alignment horizontal="center"/>
      <protection hidden="1"/>
    </xf>
    <xf numFmtId="0" fontId="4" fillId="0" borderId="7" xfId="0" applyFont="1" applyBorder="1" applyProtection="1">
      <protection hidden="1"/>
    </xf>
    <xf numFmtId="0" fontId="4" fillId="0" borderId="13" xfId="0" applyFont="1" applyBorder="1" applyProtection="1">
      <protection hidden="1"/>
    </xf>
    <xf numFmtId="0" fontId="27" fillId="0" borderId="14" xfId="3" applyFont="1" applyBorder="1" applyAlignment="1" applyProtection="1">
      <alignment horizontal="center"/>
      <protection hidden="1"/>
    </xf>
    <xf numFmtId="0" fontId="2" fillId="0" borderId="0" xfId="3" applyProtection="1">
      <protection hidden="1"/>
    </xf>
    <xf numFmtId="0" fontId="2" fillId="0" borderId="7" xfId="3" applyBorder="1" applyAlignment="1" applyProtection="1">
      <alignment horizontal="center"/>
      <protection hidden="1"/>
    </xf>
    <xf numFmtId="0" fontId="2" fillId="0" borderId="5" xfId="3" applyBorder="1" applyAlignment="1" applyProtection="1">
      <alignment horizontal="center"/>
      <protection hidden="1"/>
    </xf>
    <xf numFmtId="0" fontId="2" fillId="0" borderId="15" xfId="3" applyBorder="1" applyAlignment="1" applyProtection="1">
      <alignment horizontal="center"/>
      <protection hidden="1"/>
    </xf>
    <xf numFmtId="0" fontId="27" fillId="0" borderId="16" xfId="3" applyFont="1" applyBorder="1" applyAlignment="1" applyProtection="1">
      <alignment horizontal="center" vertical="center"/>
      <protection hidden="1"/>
    </xf>
    <xf numFmtId="0" fontId="2" fillId="0" borderId="12" xfId="3" applyBorder="1" applyAlignment="1" applyProtection="1">
      <alignment horizontal="center"/>
      <protection hidden="1"/>
    </xf>
    <xf numFmtId="0" fontId="2" fillId="0" borderId="0" xfId="3" applyAlignment="1" applyProtection="1">
      <alignment wrapText="1"/>
      <protection hidden="1"/>
    </xf>
    <xf numFmtId="0" fontId="13" fillId="3" borderId="0" xfId="3" applyFont="1" applyFill="1" applyAlignment="1" applyProtection="1">
      <alignment wrapText="1"/>
      <protection hidden="1"/>
    </xf>
    <xf numFmtId="0" fontId="18" fillId="0" borderId="0" xfId="3" applyFont="1" applyAlignment="1" applyProtection="1">
      <alignment vertical="top"/>
      <protection hidden="1"/>
    </xf>
    <xf numFmtId="0" fontId="21" fillId="3" borderId="0" xfId="3" applyFont="1" applyFill="1" applyAlignment="1" applyProtection="1">
      <alignment vertical="center"/>
      <protection hidden="1"/>
    </xf>
    <xf numFmtId="0" fontId="20" fillId="4" borderId="14" xfId="3" applyFont="1" applyFill="1" applyBorder="1" applyAlignment="1" applyProtection="1">
      <alignment vertical="center"/>
      <protection hidden="1"/>
    </xf>
    <xf numFmtId="0" fontId="2" fillId="0" borderId="17" xfId="3" applyBorder="1" applyAlignment="1" applyProtection="1">
      <alignment vertical="center"/>
      <protection hidden="1"/>
    </xf>
    <xf numFmtId="2" fontId="23" fillId="5" borderId="7" xfId="3" applyNumberFormat="1" applyFont="1" applyFill="1" applyBorder="1" applyAlignment="1" applyProtection="1">
      <alignment horizontal="center"/>
      <protection hidden="1"/>
    </xf>
    <xf numFmtId="2" fontId="23" fillId="5" borderId="5" xfId="3" applyNumberFormat="1" applyFont="1" applyFill="1" applyBorder="1" applyAlignment="1" applyProtection="1">
      <alignment horizontal="center"/>
      <protection hidden="1"/>
    </xf>
    <xf numFmtId="2" fontId="24" fillId="5" borderId="7" xfId="3" applyNumberFormat="1" applyFont="1" applyFill="1" applyBorder="1" applyAlignment="1" applyProtection="1">
      <alignment horizontal="center"/>
      <protection hidden="1"/>
    </xf>
    <xf numFmtId="2" fontId="24" fillId="5" borderId="15" xfId="3" applyNumberFormat="1" applyFont="1" applyFill="1" applyBorder="1" applyAlignment="1" applyProtection="1">
      <alignment horizontal="center"/>
      <protection hidden="1"/>
    </xf>
    <xf numFmtId="0" fontId="2" fillId="0" borderId="18" xfId="3" applyBorder="1" applyAlignment="1" applyProtection="1">
      <alignment vertical="center"/>
      <protection hidden="1"/>
    </xf>
    <xf numFmtId="2" fontId="25" fillId="0" borderId="1" xfId="3" applyNumberFormat="1" applyFont="1" applyBorder="1" applyAlignment="1" applyProtection="1">
      <alignment horizontal="center"/>
      <protection hidden="1"/>
    </xf>
    <xf numFmtId="2" fontId="25" fillId="0" borderId="0" xfId="3" applyNumberFormat="1" applyFont="1" applyAlignment="1" applyProtection="1">
      <alignment horizontal="center"/>
      <protection hidden="1"/>
    </xf>
    <xf numFmtId="2" fontId="26" fillId="0" borderId="1" xfId="3" applyNumberFormat="1" applyFont="1" applyBorder="1" applyAlignment="1" applyProtection="1">
      <alignment horizontal="center"/>
      <protection hidden="1"/>
    </xf>
    <xf numFmtId="2" fontId="26" fillId="0" borderId="2" xfId="3" applyNumberFormat="1" applyFont="1" applyBorder="1" applyAlignment="1" applyProtection="1">
      <alignment horizontal="center"/>
      <protection hidden="1"/>
    </xf>
    <xf numFmtId="2" fontId="25" fillId="5" borderId="1" xfId="3" applyNumberFormat="1" applyFont="1" applyFill="1" applyBorder="1" applyAlignment="1" applyProtection="1">
      <alignment horizontal="center"/>
      <protection hidden="1"/>
    </xf>
    <xf numFmtId="2" fontId="25" fillId="5" borderId="0" xfId="3" applyNumberFormat="1" applyFont="1" applyFill="1" applyAlignment="1" applyProtection="1">
      <alignment horizontal="center"/>
      <protection hidden="1"/>
    </xf>
    <xf numFmtId="2" fontId="26" fillId="5" borderId="1" xfId="3" applyNumberFormat="1" applyFont="1" applyFill="1" applyBorder="1" applyAlignment="1" applyProtection="1">
      <alignment horizontal="center"/>
      <protection hidden="1"/>
    </xf>
    <xf numFmtId="2" fontId="26" fillId="5" borderId="2" xfId="3" applyNumberFormat="1" applyFont="1" applyFill="1" applyBorder="1" applyAlignment="1" applyProtection="1">
      <alignment horizontal="center"/>
      <protection hidden="1"/>
    </xf>
    <xf numFmtId="2" fontId="25" fillId="0" borderId="19" xfId="3" applyNumberFormat="1" applyFont="1" applyBorder="1" applyAlignment="1" applyProtection="1">
      <alignment horizontal="center"/>
      <protection hidden="1"/>
    </xf>
    <xf numFmtId="2" fontId="25" fillId="0" borderId="20" xfId="3" applyNumberFormat="1" applyFont="1" applyBorder="1" applyAlignment="1" applyProtection="1">
      <alignment horizontal="center"/>
      <protection hidden="1"/>
    </xf>
    <xf numFmtId="2" fontId="26" fillId="0" borderId="19" xfId="3" applyNumberFormat="1" applyFont="1" applyBorder="1" applyAlignment="1" applyProtection="1">
      <alignment horizontal="center"/>
      <protection hidden="1"/>
    </xf>
    <xf numFmtId="2" fontId="26" fillId="0" borderId="21" xfId="3" applyNumberFormat="1" applyFont="1" applyBorder="1" applyAlignment="1" applyProtection="1">
      <alignment horizontal="center"/>
      <protection hidden="1"/>
    </xf>
    <xf numFmtId="2" fontId="23" fillId="5" borderId="22" xfId="3" applyNumberFormat="1" applyFont="1" applyFill="1" applyBorder="1" applyAlignment="1" applyProtection="1">
      <alignment horizontal="center"/>
      <protection hidden="1"/>
    </xf>
    <xf numFmtId="2" fontId="23" fillId="5" borderId="23" xfId="3" applyNumberFormat="1" applyFont="1" applyFill="1" applyBorder="1" applyAlignment="1" applyProtection="1">
      <alignment horizontal="center"/>
      <protection hidden="1"/>
    </xf>
    <xf numFmtId="2" fontId="24" fillId="5" borderId="22" xfId="3" applyNumberFormat="1" applyFont="1" applyFill="1" applyBorder="1" applyAlignment="1" applyProtection="1">
      <alignment horizontal="center"/>
      <protection hidden="1"/>
    </xf>
    <xf numFmtId="2" fontId="24" fillId="5" borderId="24" xfId="3" applyNumberFormat="1" applyFont="1" applyFill="1" applyBorder="1" applyAlignment="1" applyProtection="1">
      <alignment horizontal="center"/>
      <protection hidden="1"/>
    </xf>
    <xf numFmtId="2" fontId="25" fillId="0" borderId="3" xfId="3" applyNumberFormat="1" applyFont="1" applyBorder="1" applyAlignment="1" applyProtection="1">
      <alignment horizontal="center"/>
      <protection hidden="1"/>
    </xf>
    <xf numFmtId="2" fontId="25" fillId="0" borderId="13" xfId="3" applyNumberFormat="1" applyFont="1" applyBorder="1" applyAlignment="1" applyProtection="1">
      <alignment horizontal="center"/>
      <protection hidden="1"/>
    </xf>
    <xf numFmtId="2" fontId="26" fillId="0" borderId="3" xfId="3" applyNumberFormat="1" applyFont="1" applyBorder="1" applyAlignment="1" applyProtection="1">
      <alignment horizontal="center"/>
      <protection hidden="1"/>
    </xf>
    <xf numFmtId="2" fontId="26" fillId="0" borderId="4" xfId="3" applyNumberFormat="1" applyFont="1" applyBorder="1" applyAlignment="1" applyProtection="1">
      <alignment horizontal="center"/>
      <protection hidden="1"/>
    </xf>
    <xf numFmtId="0" fontId="2" fillId="0" borderId="25" xfId="3" applyBorder="1" applyAlignment="1" applyProtection="1">
      <alignment vertical="center"/>
      <protection hidden="1"/>
    </xf>
    <xf numFmtId="0" fontId="0" fillId="0" borderId="2" xfId="0" applyBorder="1" applyProtection="1">
      <protection hidden="1"/>
    </xf>
    <xf numFmtId="0" fontId="0" fillId="0" borderId="4" xfId="0" applyBorder="1" applyProtection="1">
      <protection hidden="1"/>
    </xf>
    <xf numFmtId="0" fontId="21" fillId="3" borderId="7" xfId="3" applyFont="1" applyFill="1" applyBorder="1" applyAlignment="1" applyProtection="1">
      <alignment vertical="center"/>
      <protection hidden="1"/>
    </xf>
    <xf numFmtId="0" fontId="2" fillId="0" borderId="26" xfId="3" applyBorder="1" applyAlignment="1" applyProtection="1">
      <alignment vertical="center"/>
      <protection hidden="1"/>
    </xf>
    <xf numFmtId="0" fontId="2" fillId="0" borderId="5" xfId="3" quotePrefix="1" applyBorder="1" applyAlignment="1" applyProtection="1">
      <alignment horizontal="center"/>
      <protection hidden="1"/>
    </xf>
    <xf numFmtId="0" fontId="2" fillId="0" borderId="15" xfId="3" quotePrefix="1" applyBorder="1" applyAlignment="1" applyProtection="1">
      <alignment horizontal="center"/>
      <protection hidden="1"/>
    </xf>
    <xf numFmtId="0" fontId="2" fillId="0" borderId="0" xfId="3" applyAlignment="1" applyProtection="1">
      <alignment horizontal="center"/>
      <protection hidden="1"/>
    </xf>
    <xf numFmtId="0" fontId="2" fillId="0" borderId="2" xfId="3" applyBorder="1" applyAlignment="1" applyProtection="1">
      <alignment horizontal="center"/>
      <protection hidden="1"/>
    </xf>
    <xf numFmtId="0" fontId="2" fillId="0" borderId="0" xfId="3" quotePrefix="1" applyAlignment="1" applyProtection="1">
      <alignment horizontal="center"/>
      <protection hidden="1"/>
    </xf>
    <xf numFmtId="0" fontId="2" fillId="0" borderId="2" xfId="3" quotePrefix="1" applyBorder="1" applyAlignment="1" applyProtection="1">
      <alignment horizontal="center"/>
      <protection hidden="1"/>
    </xf>
    <xf numFmtId="0" fontId="2" fillId="0" borderId="13" xfId="3" quotePrefix="1" applyBorder="1" applyAlignment="1" applyProtection="1">
      <alignment horizontal="center"/>
      <protection hidden="1"/>
    </xf>
    <xf numFmtId="0" fontId="2" fillId="0" borderId="4" xfId="3" quotePrefix="1" applyBorder="1" applyAlignment="1" applyProtection="1">
      <alignment horizontal="center"/>
      <protection hidden="1"/>
    </xf>
    <xf numFmtId="0" fontId="4" fillId="0" borderId="0" xfId="0" applyFont="1"/>
    <xf numFmtId="0" fontId="10" fillId="0" borderId="7" xfId="0" applyFont="1" applyBorder="1"/>
    <xf numFmtId="0" fontId="10" fillId="0" borderId="8" xfId="0" applyFont="1" applyBorder="1" applyAlignment="1">
      <alignment wrapText="1"/>
    </xf>
    <xf numFmtId="0" fontId="10" fillId="0" borderId="7" xfId="0" applyFont="1" applyBorder="1" applyAlignment="1">
      <alignment horizontal="center"/>
    </xf>
    <xf numFmtId="0" fontId="10" fillId="0" borderId="11" xfId="0" applyFont="1" applyBorder="1" applyAlignment="1">
      <alignment wrapText="1"/>
    </xf>
    <xf numFmtId="0" fontId="10" fillId="0" borderId="1" xfId="0" applyFont="1" applyBorder="1" applyAlignment="1">
      <alignment horizontal="center"/>
    </xf>
    <xf numFmtId="0" fontId="17" fillId="0" borderId="9" xfId="0" applyFont="1" applyBorder="1" applyAlignment="1">
      <alignment wrapText="1"/>
    </xf>
    <xf numFmtId="0" fontId="10" fillId="0" borderId="2" xfId="0" applyFont="1" applyBorder="1" applyAlignment="1">
      <alignment horizontal="center"/>
    </xf>
    <xf numFmtId="0" fontId="5" fillId="0" borderId="27" xfId="0" applyFont="1" applyBorder="1" applyAlignment="1">
      <alignment horizontal="right"/>
    </xf>
    <xf numFmtId="0" fontId="7" fillId="2" borderId="1" xfId="0" applyFont="1" applyFill="1" applyBorder="1"/>
    <xf numFmtId="0" fontId="7" fillId="2" borderId="2" xfId="0" applyFont="1" applyFill="1" applyBorder="1"/>
    <xf numFmtId="0" fontId="4" fillId="0" borderId="1" xfId="0" applyFont="1" applyBorder="1"/>
    <xf numFmtId="0" fontId="4" fillId="0" borderId="6" xfId="0" applyFont="1" applyBorder="1"/>
    <xf numFmtId="0" fontId="4" fillId="0" borderId="2" xfId="0" applyFont="1" applyBorder="1"/>
    <xf numFmtId="0" fontId="0" fillId="0" borderId="27" xfId="0" applyBorder="1"/>
    <xf numFmtId="0" fontId="4" fillId="0" borderId="3" xfId="0" applyFont="1" applyBorder="1"/>
    <xf numFmtId="0" fontId="4" fillId="0" borderId="10" xfId="0" applyFont="1" applyBorder="1"/>
    <xf numFmtId="0" fontId="4" fillId="0" borderId="4" xfId="0" applyFont="1" applyBorder="1"/>
    <xf numFmtId="0" fontId="10" fillId="0" borderId="6" xfId="0" applyFont="1" applyBorder="1" applyAlignment="1">
      <alignment horizontal="center"/>
    </xf>
    <xf numFmtId="0" fontId="10" fillId="0" borderId="0" xfId="0" applyFont="1" applyAlignment="1">
      <alignment horizontal="center"/>
    </xf>
    <xf numFmtId="0" fontId="7" fillId="2" borderId="6" xfId="0" applyFont="1" applyFill="1" applyBorder="1"/>
    <xf numFmtId="0" fontId="7" fillId="2" borderId="0" xfId="0" applyFont="1" applyFill="1"/>
    <xf numFmtId="0" fontId="7" fillId="0" borderId="27" xfId="0" applyFont="1" applyBorder="1" applyAlignment="1">
      <alignment horizontal="center"/>
    </xf>
    <xf numFmtId="168" fontId="4" fillId="0" borderId="12" xfId="0" applyNumberFormat="1" applyFont="1" applyBorder="1" applyAlignment="1">
      <alignment horizontal="center"/>
    </xf>
    <xf numFmtId="168" fontId="6" fillId="0" borderId="12" xfId="0" applyNumberFormat="1" applyFont="1" applyBorder="1" applyAlignment="1">
      <alignment horizontal="center"/>
    </xf>
    <xf numFmtId="0" fontId="17" fillId="0" borderId="2" xfId="0" applyFont="1" applyBorder="1" applyAlignment="1">
      <alignment wrapText="1"/>
    </xf>
    <xf numFmtId="0" fontId="0" fillId="0" borderId="2" xfId="0" applyBorder="1"/>
    <xf numFmtId="0" fontId="0" fillId="0" borderId="4" xfId="0" applyBorder="1"/>
    <xf numFmtId="0" fontId="0" fillId="0" borderId="0" xfId="0" applyAlignment="1">
      <alignment vertical="center"/>
    </xf>
    <xf numFmtId="0" fontId="7" fillId="2" borderId="1" xfId="0" applyFont="1" applyFill="1" applyBorder="1" applyAlignment="1">
      <alignment vertical="center"/>
    </xf>
    <xf numFmtId="0" fontId="4" fillId="0" borderId="0" xfId="0" applyFont="1" applyAlignment="1">
      <alignment vertical="center"/>
    </xf>
    <xf numFmtId="0" fontId="9" fillId="0" borderId="28" xfId="0" applyFont="1" applyBorder="1" applyAlignment="1">
      <alignment horizontal="center" vertical="center"/>
    </xf>
    <xf numFmtId="0" fontId="9" fillId="0" borderId="6" xfId="0" applyFont="1" applyBorder="1" applyAlignment="1">
      <alignment horizontal="center" vertical="center"/>
    </xf>
    <xf numFmtId="0" fontId="9" fillId="0" borderId="29" xfId="0" applyFont="1" applyBorder="1" applyAlignment="1">
      <alignment horizontal="center" vertical="center"/>
    </xf>
    <xf numFmtId="0" fontId="4" fillId="0" borderId="30" xfId="0" applyFont="1" applyBorder="1" applyAlignment="1">
      <alignment horizontal="center" vertical="center"/>
    </xf>
    <xf numFmtId="0" fontId="6" fillId="0" borderId="31" xfId="0" applyFont="1" applyBorder="1" applyAlignment="1">
      <alignment horizontal="center" vertical="center"/>
    </xf>
    <xf numFmtId="0" fontId="4" fillId="0" borderId="32" xfId="0" applyFont="1" applyBorder="1" applyAlignment="1">
      <alignment horizontal="center" vertical="center"/>
    </xf>
    <xf numFmtId="0" fontId="6" fillId="6" borderId="32" xfId="0" applyFont="1" applyFill="1" applyBorder="1" applyAlignment="1">
      <alignment horizontal="center" vertical="center"/>
    </xf>
    <xf numFmtId="2" fontId="4" fillId="0" borderId="30" xfId="0" applyNumberFormat="1" applyFont="1" applyBorder="1" applyAlignment="1">
      <alignment horizontal="center" vertical="center"/>
    </xf>
    <xf numFmtId="2" fontId="4" fillId="0" borderId="33" xfId="0" applyNumberFormat="1" applyFont="1" applyBorder="1" applyAlignment="1">
      <alignment horizontal="center" vertical="center"/>
    </xf>
    <xf numFmtId="169" fontId="4" fillId="0" borderId="33" xfId="0" applyNumberFormat="1" applyFont="1" applyBorder="1" applyAlignment="1">
      <alignment horizontal="center" vertical="center"/>
    </xf>
    <xf numFmtId="169" fontId="4" fillId="0" borderId="30" xfId="0" applyNumberFormat="1" applyFont="1" applyBorder="1" applyAlignment="1">
      <alignment horizontal="center" vertical="center"/>
    </xf>
    <xf numFmtId="0" fontId="4" fillId="0" borderId="25" xfId="0" applyFont="1" applyBorder="1" applyAlignment="1">
      <alignment horizontal="center" vertical="center"/>
    </xf>
    <xf numFmtId="0" fontId="6" fillId="0" borderId="10" xfId="0" applyFont="1" applyBorder="1" applyAlignment="1">
      <alignment horizontal="center" vertical="center"/>
    </xf>
    <xf numFmtId="0" fontId="4" fillId="0" borderId="34" xfId="0" applyFont="1" applyBorder="1" applyAlignment="1">
      <alignment horizontal="center" vertical="center"/>
    </xf>
    <xf numFmtId="0" fontId="4" fillId="0" borderId="16" xfId="0" applyFont="1" applyBorder="1" applyAlignment="1">
      <alignment horizontal="center" vertical="center"/>
    </xf>
    <xf numFmtId="0" fontId="6" fillId="6" borderId="16" xfId="0" applyFont="1" applyFill="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0" fillId="0" borderId="37" xfId="0" applyBorder="1" applyAlignment="1">
      <alignment horizontal="center" vertical="center"/>
    </xf>
    <xf numFmtId="0" fontId="0" fillId="0" borderId="31" xfId="0" applyBorder="1" applyAlignment="1">
      <alignment horizontal="center" vertical="center"/>
    </xf>
    <xf numFmtId="0" fontId="0" fillId="0" borderId="33" xfId="0" applyBorder="1" applyAlignment="1">
      <alignment horizontal="center" vertical="center"/>
    </xf>
    <xf numFmtId="0" fontId="0" fillId="0" borderId="28"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6" fillId="0" borderId="7" xfId="0" applyFont="1" applyBorder="1"/>
    <xf numFmtId="0" fontId="16" fillId="5" borderId="38" xfId="0" applyFont="1" applyFill="1" applyBorder="1" applyAlignment="1">
      <alignment horizontal="center" vertical="center"/>
    </xf>
    <xf numFmtId="0" fontId="13" fillId="0" borderId="39" xfId="0" applyFont="1" applyBorder="1" applyAlignment="1">
      <alignment horizontal="center" vertical="center"/>
    </xf>
    <xf numFmtId="164" fontId="13" fillId="0" borderId="26" xfId="0" applyNumberFormat="1" applyFont="1" applyBorder="1" applyAlignment="1">
      <alignment horizontal="center" vertical="center"/>
    </xf>
    <xf numFmtId="164" fontId="13" fillId="0" borderId="38" xfId="0" applyNumberFormat="1" applyFont="1" applyBorder="1" applyAlignment="1">
      <alignment horizontal="center" vertical="center"/>
    </xf>
    <xf numFmtId="0" fontId="6" fillId="0" borderId="1" xfId="0" applyFont="1" applyBorder="1"/>
    <xf numFmtId="0" fontId="16" fillId="5" borderId="33" xfId="0" applyFont="1" applyFill="1" applyBorder="1" applyAlignment="1">
      <alignment horizontal="center" vertical="center"/>
    </xf>
    <xf numFmtId="0" fontId="13" fillId="0" borderId="30" xfId="0" applyFont="1" applyBorder="1" applyAlignment="1">
      <alignment horizontal="center" vertical="center"/>
    </xf>
    <xf numFmtId="165" fontId="13" fillId="0" borderId="33" xfId="0" applyNumberFormat="1" applyFont="1" applyBorder="1" applyAlignment="1">
      <alignment horizontal="center" vertical="center"/>
    </xf>
    <xf numFmtId="0" fontId="6" fillId="0" borderId="3" xfId="0" applyFont="1" applyBorder="1"/>
    <xf numFmtId="0" fontId="16" fillId="5" borderId="36" xfId="0" applyFont="1" applyFill="1" applyBorder="1" applyAlignment="1">
      <alignment horizontal="center" vertical="center"/>
    </xf>
    <xf numFmtId="0" fontId="13" fillId="0" borderId="25" xfId="0" applyFont="1" applyBorder="1" applyAlignment="1">
      <alignment horizontal="center" vertical="center"/>
    </xf>
    <xf numFmtId="165" fontId="13" fillId="0" borderId="36" xfId="0" applyNumberFormat="1" applyFont="1" applyBorder="1" applyAlignment="1">
      <alignment horizontal="center" vertical="center"/>
    </xf>
    <xf numFmtId="0" fontId="16" fillId="5" borderId="40" xfId="0" applyFont="1" applyFill="1" applyBorder="1" applyAlignment="1">
      <alignment horizontal="center" vertical="center"/>
    </xf>
    <xf numFmtId="167" fontId="13" fillId="0" borderId="39" xfId="0" applyNumberFormat="1" applyFont="1" applyBorder="1" applyAlignment="1">
      <alignment horizontal="center" vertical="center"/>
    </xf>
    <xf numFmtId="165" fontId="13" fillId="0" borderId="38" xfId="0" applyNumberFormat="1" applyFont="1" applyBorder="1" applyAlignment="1">
      <alignment horizontal="center" vertical="center"/>
    </xf>
    <xf numFmtId="0" fontId="0" fillId="0" borderId="0" xfId="0" quotePrefix="1" applyAlignment="1">
      <alignment horizontal="center"/>
    </xf>
    <xf numFmtId="166" fontId="13" fillId="0" borderId="14" xfId="0" applyNumberFormat="1" applyFont="1" applyBorder="1" applyAlignment="1">
      <alignment horizontal="center" vertical="center"/>
    </xf>
    <xf numFmtId="0" fontId="16" fillId="5" borderId="31" xfId="0" applyFont="1" applyFill="1" applyBorder="1" applyAlignment="1">
      <alignment horizontal="center" vertical="center"/>
    </xf>
    <xf numFmtId="167" fontId="13" fillId="0" borderId="30" xfId="0" applyNumberFormat="1" applyFont="1" applyBorder="1" applyAlignment="1">
      <alignment horizontal="center" vertical="center"/>
    </xf>
    <xf numFmtId="166" fontId="13" fillId="0" borderId="41" xfId="0" applyNumberFormat="1" applyFont="1" applyBorder="1" applyAlignment="1">
      <alignment horizontal="center" vertical="center"/>
    </xf>
    <xf numFmtId="0" fontId="16" fillId="5" borderId="42" xfId="0" applyFont="1" applyFill="1" applyBorder="1" applyAlignment="1">
      <alignment horizontal="center" vertical="center"/>
    </xf>
    <xf numFmtId="167" fontId="13" fillId="0" borderId="25" xfId="0" applyNumberFormat="1" applyFont="1" applyBorder="1" applyAlignment="1">
      <alignment horizontal="center" vertical="center"/>
    </xf>
    <xf numFmtId="166" fontId="13" fillId="0" borderId="16" xfId="0" applyNumberFormat="1" applyFont="1" applyBorder="1" applyAlignment="1">
      <alignment horizontal="center" vertical="center"/>
    </xf>
    <xf numFmtId="0" fontId="0" fillId="0" borderId="31" xfId="0" applyBorder="1"/>
    <xf numFmtId="0" fontId="0" fillId="0" borderId="43" xfId="0" applyBorder="1"/>
    <xf numFmtId="0" fontId="0" fillId="0" borderId="20" xfId="0" applyBorder="1"/>
    <xf numFmtId="0" fontId="0" fillId="0" borderId="44" xfId="0" applyBorder="1"/>
    <xf numFmtId="0" fontId="20" fillId="4" borderId="7" xfId="3" applyFont="1" applyFill="1" applyBorder="1" applyAlignment="1" applyProtection="1">
      <alignment vertical="center"/>
      <protection hidden="1"/>
    </xf>
    <xf numFmtId="0" fontId="21" fillId="3" borderId="1" xfId="3" applyFont="1" applyFill="1" applyBorder="1" applyAlignment="1" applyProtection="1">
      <alignment vertical="center"/>
      <protection hidden="1"/>
    </xf>
    <xf numFmtId="0" fontId="21" fillId="3" borderId="3" xfId="3" applyFont="1" applyFill="1" applyBorder="1" applyAlignment="1" applyProtection="1">
      <alignment vertical="center"/>
      <protection hidden="1"/>
    </xf>
    <xf numFmtId="0" fontId="20" fillId="4" borderId="45" xfId="3" applyFont="1" applyFill="1" applyBorder="1" applyAlignment="1" applyProtection="1">
      <alignment vertical="center"/>
      <protection hidden="1"/>
    </xf>
    <xf numFmtId="0" fontId="2" fillId="0" borderId="28" xfId="3" applyBorder="1" applyAlignment="1" applyProtection="1">
      <alignment vertical="center"/>
      <protection hidden="1"/>
    </xf>
    <xf numFmtId="0" fontId="20" fillId="4" borderId="46" xfId="3" applyFont="1" applyFill="1" applyBorder="1" applyAlignment="1" applyProtection="1">
      <alignment vertical="center"/>
      <protection hidden="1"/>
    </xf>
    <xf numFmtId="0" fontId="21" fillId="7" borderId="0" xfId="3" applyFont="1" applyFill="1" applyAlignment="1" applyProtection="1">
      <alignment vertical="center"/>
      <protection hidden="1"/>
    </xf>
    <xf numFmtId="2" fontId="24" fillId="5" borderId="0" xfId="3" quotePrefix="1" applyNumberFormat="1" applyFont="1" applyFill="1" applyAlignment="1" applyProtection="1">
      <alignment horizontal="center"/>
      <protection hidden="1"/>
    </xf>
    <xf numFmtId="2" fontId="24" fillId="5" borderId="7" xfId="3" quotePrefix="1" applyNumberFormat="1" applyFont="1" applyFill="1" applyBorder="1" applyAlignment="1" applyProtection="1">
      <alignment horizontal="center"/>
      <protection hidden="1"/>
    </xf>
    <xf numFmtId="2" fontId="24" fillId="5" borderId="5" xfId="3" quotePrefix="1" applyNumberFormat="1" applyFont="1" applyFill="1" applyBorder="1" applyAlignment="1" applyProtection="1">
      <alignment horizontal="center"/>
      <protection hidden="1"/>
    </xf>
    <xf numFmtId="2" fontId="24" fillId="5" borderId="15" xfId="3" quotePrefix="1" applyNumberFormat="1" applyFont="1" applyFill="1" applyBorder="1" applyAlignment="1" applyProtection="1">
      <alignment horizontal="center"/>
      <protection hidden="1"/>
    </xf>
    <xf numFmtId="2" fontId="24" fillId="5" borderId="1" xfId="3" quotePrefix="1" applyNumberFormat="1" applyFont="1" applyFill="1" applyBorder="1" applyAlignment="1" applyProtection="1">
      <alignment horizontal="center"/>
      <protection hidden="1"/>
    </xf>
    <xf numFmtId="2" fontId="24" fillId="5" borderId="2" xfId="3" quotePrefix="1" applyNumberFormat="1" applyFont="1" applyFill="1" applyBorder="1" applyAlignment="1" applyProtection="1">
      <alignment horizontal="center"/>
      <protection hidden="1"/>
    </xf>
    <xf numFmtId="2" fontId="24" fillId="5" borderId="3" xfId="3" quotePrefix="1" applyNumberFormat="1" applyFont="1" applyFill="1" applyBorder="1" applyAlignment="1" applyProtection="1">
      <alignment horizontal="center"/>
      <protection hidden="1"/>
    </xf>
    <xf numFmtId="2" fontId="24" fillId="5" borderId="13" xfId="3" quotePrefix="1" applyNumberFormat="1" applyFont="1" applyFill="1" applyBorder="1" applyAlignment="1" applyProtection="1">
      <alignment horizontal="center"/>
      <protection hidden="1"/>
    </xf>
    <xf numFmtId="2" fontId="24" fillId="5" borderId="4" xfId="3" quotePrefix="1" applyNumberFormat="1" applyFont="1" applyFill="1" applyBorder="1" applyAlignment="1" applyProtection="1">
      <alignment horizontal="center"/>
      <protection hidden="1"/>
    </xf>
    <xf numFmtId="0" fontId="32" fillId="0" borderId="6" xfId="0" applyFont="1" applyBorder="1"/>
    <xf numFmtId="0" fontId="33" fillId="0" borderId="0" xfId="0" applyFont="1"/>
    <xf numFmtId="0" fontId="0" fillId="0" borderId="23" xfId="0" applyBorder="1"/>
    <xf numFmtId="0" fontId="0" fillId="0" borderId="0" xfId="0" applyAlignment="1">
      <alignment horizontal="left" indent="1"/>
    </xf>
    <xf numFmtId="0" fontId="11" fillId="0" borderId="0" xfId="0" applyFont="1" applyAlignment="1" applyProtection="1">
      <alignment horizontal="center" vertical="center"/>
      <protection locked="0"/>
    </xf>
    <xf numFmtId="0" fontId="11" fillId="0" borderId="27" xfId="0" applyFont="1" applyBorder="1" applyAlignment="1" applyProtection="1">
      <alignment horizontal="center" vertical="center"/>
      <protection locked="0"/>
    </xf>
    <xf numFmtId="0" fontId="0" fillId="0" borderId="47" xfId="0" applyBorder="1"/>
    <xf numFmtId="0" fontId="36" fillId="0" borderId="0" xfId="0" applyFont="1" applyAlignment="1">
      <alignment horizontal="left" vertical="center"/>
    </xf>
    <xf numFmtId="0" fontId="0" fillId="0" borderId="27" xfId="0" applyBorder="1" applyAlignment="1">
      <alignment vertical="center"/>
    </xf>
    <xf numFmtId="0" fontId="29" fillId="6" borderId="48" xfId="0" applyFont="1" applyFill="1" applyBorder="1" applyAlignment="1">
      <alignment horizontal="left"/>
    </xf>
    <xf numFmtId="0" fontId="39" fillId="0" borderId="27" xfId="0" applyFont="1" applyBorder="1" applyAlignment="1">
      <alignment horizontal="right"/>
    </xf>
    <xf numFmtId="0" fontId="40" fillId="0" borderId="0" xfId="0" applyFont="1"/>
    <xf numFmtId="0" fontId="40" fillId="0" borderId="27" xfId="0" applyFont="1" applyBorder="1"/>
    <xf numFmtId="0" fontId="18" fillId="0" borderId="0" xfId="3" applyFont="1" applyProtection="1">
      <protection hidden="1"/>
    </xf>
    <xf numFmtId="0" fontId="41" fillId="0" borderId="0" xfId="0" applyFont="1" applyAlignment="1">
      <alignment vertical="top"/>
    </xf>
    <xf numFmtId="0" fontId="41" fillId="0" borderId="0" xfId="0" applyFont="1" applyAlignment="1">
      <alignment wrapText="1"/>
    </xf>
    <xf numFmtId="0" fontId="37" fillId="0" borderId="26" xfId="0" applyFont="1" applyBorder="1" applyAlignment="1">
      <alignment horizontal="center" vertical="top" wrapText="1"/>
    </xf>
    <xf numFmtId="0" fontId="37" fillId="0" borderId="11" xfId="0" applyFont="1" applyBorder="1" applyAlignment="1">
      <alignment horizontal="center" vertical="top" wrapText="1"/>
    </xf>
    <xf numFmtId="169" fontId="4" fillId="8" borderId="49" xfId="0" applyNumberFormat="1" applyFont="1" applyFill="1" applyBorder="1" applyProtection="1">
      <protection locked="0"/>
    </xf>
    <xf numFmtId="0" fontId="4" fillId="8" borderId="49" xfId="0" applyFont="1" applyFill="1" applyBorder="1" applyAlignment="1" applyProtection="1">
      <alignment horizontal="center"/>
      <protection locked="0"/>
    </xf>
    <xf numFmtId="0" fontId="4" fillId="8" borderId="2" xfId="0" applyFont="1" applyFill="1" applyBorder="1" applyProtection="1">
      <protection locked="0"/>
    </xf>
    <xf numFmtId="0" fontId="43" fillId="0" borderId="49" xfId="0" applyFont="1" applyBorder="1" applyAlignment="1">
      <alignment horizontal="center"/>
    </xf>
    <xf numFmtId="0" fontId="4" fillId="8" borderId="49" xfId="0" applyFont="1" applyFill="1" applyBorder="1" applyProtection="1">
      <protection locked="0"/>
    </xf>
    <xf numFmtId="169" fontId="4" fillId="8" borderId="50" xfId="0" applyNumberFormat="1" applyFont="1" applyFill="1" applyBorder="1" applyProtection="1">
      <protection locked="0"/>
    </xf>
    <xf numFmtId="0" fontId="43" fillId="0" borderId="50" xfId="0" applyFont="1" applyBorder="1" applyAlignment="1">
      <alignment horizontal="center"/>
    </xf>
    <xf numFmtId="0" fontId="4" fillId="8" borderId="4" xfId="0" applyFont="1" applyFill="1" applyBorder="1" applyProtection="1">
      <protection locked="0"/>
    </xf>
    <xf numFmtId="0" fontId="32" fillId="0" borderId="0" xfId="0" applyFont="1" applyAlignment="1">
      <alignment horizontal="left" vertical="top"/>
    </xf>
    <xf numFmtId="0" fontId="0" fillId="0" borderId="52" xfId="0" applyBorder="1"/>
    <xf numFmtId="0" fontId="50" fillId="0" borderId="27" xfId="0" applyFont="1" applyBorder="1" applyAlignment="1">
      <alignment horizontal="right"/>
    </xf>
    <xf numFmtId="0" fontId="49" fillId="0" borderId="0" xfId="0" applyFont="1"/>
    <xf numFmtId="0" fontId="52" fillId="10" borderId="23" xfId="0" applyFont="1" applyFill="1" applyBorder="1" applyAlignment="1">
      <alignment vertical="center"/>
    </xf>
    <xf numFmtId="0" fontId="52" fillId="13" borderId="0" xfId="0" applyFont="1" applyFill="1" applyAlignment="1">
      <alignment vertical="center"/>
    </xf>
    <xf numFmtId="0" fontId="53" fillId="13" borderId="0" xfId="0" applyFont="1" applyFill="1" applyAlignment="1">
      <alignment horizontal="center"/>
    </xf>
    <xf numFmtId="0" fontId="49" fillId="0" borderId="0" xfId="0" applyFont="1" applyAlignment="1">
      <alignment horizontal="center" vertical="center"/>
    </xf>
    <xf numFmtId="0" fontId="51" fillId="0" borderId="0" xfId="0" applyFont="1" applyAlignment="1">
      <alignment horizontal="center" vertical="center"/>
    </xf>
    <xf numFmtId="0" fontId="10" fillId="0" borderId="1" xfId="0" applyFont="1" applyBorder="1"/>
    <xf numFmtId="170" fontId="51" fillId="0" borderId="0" xfId="1" applyNumberFormat="1" applyFont="1" applyFill="1" applyBorder="1" applyAlignment="1" applyProtection="1">
      <alignment vertical="center"/>
    </xf>
    <xf numFmtId="0" fontId="54" fillId="12" borderId="0" xfId="0" applyFont="1" applyFill="1" applyProtection="1">
      <protection hidden="1"/>
    </xf>
    <xf numFmtId="0" fontId="0" fillId="12" borderId="0" xfId="0" applyFill="1" applyProtection="1">
      <protection hidden="1"/>
    </xf>
    <xf numFmtId="0" fontId="55" fillId="12" borderId="0" xfId="0" applyFont="1" applyFill="1" applyAlignment="1" applyProtection="1">
      <alignment horizontal="left" vertical="top"/>
      <protection hidden="1"/>
    </xf>
    <xf numFmtId="0" fontId="55" fillId="12" borderId="0" xfId="0" applyFont="1" applyFill="1" applyAlignment="1" applyProtection="1">
      <alignment vertical="top"/>
      <protection hidden="1"/>
    </xf>
    <xf numFmtId="0" fontId="56" fillId="0" borderId="0" xfId="0" applyFont="1"/>
    <xf numFmtId="0" fontId="57" fillId="0" borderId="27" xfId="0" applyFont="1" applyBorder="1" applyAlignment="1">
      <alignment horizontal="right"/>
    </xf>
    <xf numFmtId="0" fontId="56" fillId="0" borderId="27" xfId="0" applyFont="1" applyBorder="1"/>
    <xf numFmtId="0" fontId="57" fillId="0" borderId="0" xfId="0" applyFont="1" applyAlignment="1">
      <alignment horizontal="right" vertical="center" wrapText="1"/>
    </xf>
    <xf numFmtId="0" fontId="58" fillId="0" borderId="17" xfId="0" applyFont="1" applyBorder="1" applyAlignment="1">
      <alignment horizontal="center" vertical="center"/>
    </xf>
    <xf numFmtId="0" fontId="58" fillId="0" borderId="8" xfId="0" applyFont="1" applyBorder="1" applyAlignment="1">
      <alignment horizontal="center" vertical="center"/>
    </xf>
    <xf numFmtId="0" fontId="56" fillId="0" borderId="30" xfId="0" applyFont="1" applyBorder="1" applyAlignment="1">
      <alignment horizontal="center" vertical="center"/>
    </xf>
    <xf numFmtId="0" fontId="59" fillId="0" borderId="31" xfId="0" applyFont="1" applyBorder="1" applyAlignment="1">
      <alignment horizontal="center" vertical="center"/>
    </xf>
    <xf numFmtId="170" fontId="59" fillId="13" borderId="32" xfId="1" applyNumberFormat="1" applyFont="1" applyFill="1" applyBorder="1" applyAlignment="1" applyProtection="1">
      <alignment vertical="center"/>
    </xf>
    <xf numFmtId="0" fontId="56" fillId="0" borderId="25" xfId="0" applyFont="1" applyBorder="1" applyAlignment="1">
      <alignment horizontal="center" vertical="center"/>
    </xf>
    <xf numFmtId="0" fontId="59" fillId="0" borderId="10" xfId="0" applyFont="1" applyBorder="1" applyAlignment="1">
      <alignment horizontal="center" vertical="center"/>
    </xf>
    <xf numFmtId="170" fontId="59" fillId="13" borderId="16" xfId="1" applyNumberFormat="1" applyFont="1" applyFill="1" applyBorder="1" applyAlignment="1" applyProtection="1">
      <alignment vertical="center"/>
    </xf>
    <xf numFmtId="0" fontId="58" fillId="13" borderId="54" xfId="0" applyFont="1" applyFill="1" applyBorder="1" applyAlignment="1">
      <alignment vertical="center"/>
    </xf>
    <xf numFmtId="0" fontId="48" fillId="12" borderId="0" xfId="0" applyFont="1" applyFill="1" applyAlignment="1">
      <alignment vertical="center" wrapText="1"/>
    </xf>
    <xf numFmtId="0" fontId="56" fillId="0" borderId="0" xfId="0" applyFont="1" applyAlignment="1" applyProtection="1">
      <alignment horizontal="center"/>
      <protection locked="0"/>
    </xf>
    <xf numFmtId="0" fontId="57" fillId="0" borderId="0" xfId="0" applyFont="1" applyAlignment="1">
      <alignment horizontal="right" vertical="center" wrapText="1"/>
    </xf>
    <xf numFmtId="0" fontId="57" fillId="0" borderId="27" xfId="0" applyFont="1" applyBorder="1" applyAlignment="1">
      <alignment horizontal="right" vertical="center" wrapText="1"/>
    </xf>
    <xf numFmtId="0" fontId="7" fillId="2" borderId="17" xfId="0" applyFont="1" applyFill="1" applyBorder="1" applyAlignment="1">
      <alignment horizontal="center" vertical="center"/>
    </xf>
    <xf numFmtId="0" fontId="7" fillId="2" borderId="28" xfId="0" applyFont="1" applyFill="1" applyBorder="1" applyAlignment="1">
      <alignment horizontal="center" vertical="center"/>
    </xf>
    <xf numFmtId="0" fontId="16" fillId="5" borderId="59" xfId="0" applyFont="1" applyFill="1" applyBorder="1" applyAlignment="1">
      <alignment horizontal="center" vertical="center"/>
    </xf>
    <xf numFmtId="0" fontId="16" fillId="5" borderId="29" xfId="0" applyFont="1" applyFill="1" applyBorder="1" applyAlignment="1">
      <alignment horizontal="center" vertical="center"/>
    </xf>
    <xf numFmtId="0" fontId="49" fillId="9" borderId="31" xfId="0" applyFont="1" applyFill="1" applyBorder="1" applyAlignment="1" applyProtection="1">
      <alignment horizontal="center" vertical="center"/>
      <protection locked="0"/>
    </xf>
    <xf numFmtId="0" fontId="49" fillId="9" borderId="43" xfId="0" applyFont="1" applyFill="1" applyBorder="1" applyAlignment="1" applyProtection="1">
      <alignment horizontal="center" vertical="center"/>
      <protection locked="0"/>
    </xf>
    <xf numFmtId="0" fontId="49" fillId="9" borderId="44" xfId="0" applyFont="1" applyFill="1" applyBorder="1" applyAlignment="1" applyProtection="1">
      <alignment horizontal="center" vertical="center"/>
      <protection locked="0"/>
    </xf>
    <xf numFmtId="0" fontId="56" fillId="14" borderId="31" xfId="0" applyFont="1" applyFill="1" applyBorder="1" applyAlignment="1" applyProtection="1">
      <alignment horizontal="center" vertical="center"/>
      <protection locked="0"/>
    </xf>
    <xf numFmtId="0" fontId="56" fillId="14" borderId="43" xfId="0" applyFont="1" applyFill="1" applyBorder="1" applyAlignment="1" applyProtection="1">
      <alignment horizontal="center" vertical="center"/>
      <protection locked="0"/>
    </xf>
    <xf numFmtId="0" fontId="56" fillId="14" borderId="44" xfId="0" applyFont="1" applyFill="1" applyBorder="1" applyAlignment="1" applyProtection="1">
      <alignment horizontal="center" vertical="center"/>
      <protection locked="0"/>
    </xf>
    <xf numFmtId="0" fontId="49" fillId="0" borderId="31" xfId="0" applyFont="1" applyBorder="1" applyAlignment="1">
      <alignment horizontal="center" vertical="center"/>
    </xf>
    <xf numFmtId="0" fontId="49" fillId="0" borderId="43" xfId="0" applyFont="1" applyBorder="1" applyAlignment="1">
      <alignment horizontal="center" vertical="center"/>
    </xf>
    <xf numFmtId="0" fontId="49" fillId="0" borderId="44" xfId="0" applyFont="1" applyBorder="1" applyAlignment="1">
      <alignment horizontal="center" vertical="center"/>
    </xf>
    <xf numFmtId="0" fontId="55" fillId="12" borderId="0" xfId="0" applyFont="1" applyFill="1" applyAlignment="1" applyProtection="1">
      <alignment horizontal="left" vertical="top" wrapText="1"/>
      <protection hidden="1"/>
    </xf>
    <xf numFmtId="0" fontId="0" fillId="6" borderId="56" xfId="0" applyFill="1" applyBorder="1" applyAlignment="1">
      <alignment horizontal="center" vertical="center"/>
    </xf>
    <xf numFmtId="0" fontId="0" fillId="6" borderId="60" xfId="0" applyFill="1" applyBorder="1" applyAlignment="1">
      <alignment horizontal="center" vertical="center"/>
    </xf>
    <xf numFmtId="0" fontId="0" fillId="6" borderId="11" xfId="0" applyFill="1" applyBorder="1" applyAlignment="1">
      <alignment horizontal="center" vertical="center"/>
    </xf>
    <xf numFmtId="0" fontId="19" fillId="0" borderId="1" xfId="0" applyFont="1" applyBorder="1" applyAlignment="1">
      <alignment horizontal="center" wrapText="1"/>
    </xf>
    <xf numFmtId="0" fontId="52" fillId="10" borderId="23" xfId="0" applyFont="1" applyFill="1" applyBorder="1" applyAlignment="1">
      <alignment horizontal="center" vertical="center" wrapText="1"/>
    </xf>
    <xf numFmtId="0" fontId="53" fillId="10" borderId="23" xfId="0" applyFont="1" applyFill="1" applyBorder="1" applyAlignment="1">
      <alignment horizontal="center"/>
    </xf>
    <xf numFmtId="0" fontId="53" fillId="10" borderId="47" xfId="0" applyFont="1" applyFill="1" applyBorder="1" applyAlignment="1">
      <alignment horizontal="center"/>
    </xf>
    <xf numFmtId="0" fontId="10" fillId="0" borderId="15" xfId="0" applyFont="1" applyBorder="1" applyAlignment="1">
      <alignment horizontal="center" wrapText="1"/>
    </xf>
    <xf numFmtId="0" fontId="10" fillId="0" borderId="2" xfId="0" applyFont="1" applyBorder="1" applyAlignment="1">
      <alignment horizontal="center" wrapText="1"/>
    </xf>
    <xf numFmtId="0" fontId="10" fillId="0" borderId="21" xfId="0" applyFont="1" applyBorder="1" applyAlignment="1">
      <alignment horizontal="center" wrapText="1"/>
    </xf>
    <xf numFmtId="0" fontId="56" fillId="14" borderId="31" xfId="0" applyFont="1" applyFill="1" applyBorder="1" applyAlignment="1" applyProtection="1">
      <alignment horizontal="center"/>
      <protection locked="0"/>
    </xf>
    <xf numFmtId="0" fontId="56" fillId="14" borderId="43" xfId="0" applyFont="1" applyFill="1" applyBorder="1" applyAlignment="1" applyProtection="1">
      <alignment horizontal="center"/>
      <protection locked="0"/>
    </xf>
    <xf numFmtId="0" fontId="56" fillId="14" borderId="44" xfId="0" applyFont="1" applyFill="1" applyBorder="1" applyAlignment="1" applyProtection="1">
      <alignment horizontal="center"/>
      <protection locked="0"/>
    </xf>
    <xf numFmtId="0" fontId="33" fillId="0" borderId="6" xfId="0" applyFont="1" applyBorder="1" applyAlignment="1">
      <alignment horizontal="center" vertical="center" wrapText="1"/>
    </xf>
    <xf numFmtId="0" fontId="59" fillId="13" borderId="0" xfId="0" applyFont="1" applyFill="1" applyAlignment="1">
      <alignment horizontal="center" vertical="center"/>
    </xf>
    <xf numFmtId="0" fontId="0" fillId="11" borderId="31" xfId="0" applyFill="1" applyBorder="1" applyAlignment="1" applyProtection="1">
      <alignment horizontal="center"/>
      <protection locked="0"/>
    </xf>
    <xf numFmtId="0" fontId="0" fillId="11" borderId="43" xfId="0" applyFill="1" applyBorder="1" applyAlignment="1" applyProtection="1">
      <alignment horizontal="center"/>
      <protection locked="0"/>
    </xf>
    <xf numFmtId="0" fontId="0" fillId="11" borderId="44" xfId="0" applyFill="1" applyBorder="1" applyAlignment="1" applyProtection="1">
      <alignment horizontal="center"/>
      <protection locked="0"/>
    </xf>
    <xf numFmtId="0" fontId="4" fillId="11" borderId="31" xfId="0" applyFont="1" applyFill="1" applyBorder="1" applyAlignment="1" applyProtection="1">
      <alignment horizontal="center" vertical="center"/>
      <protection locked="0"/>
    </xf>
    <xf numFmtId="0" fontId="4" fillId="11" borderId="43" xfId="0" applyFont="1" applyFill="1" applyBorder="1" applyAlignment="1" applyProtection="1">
      <alignment horizontal="center" vertical="center"/>
      <protection locked="0"/>
    </xf>
    <xf numFmtId="0" fontId="4" fillId="11" borderId="44" xfId="0" applyFont="1" applyFill="1" applyBorder="1" applyAlignment="1" applyProtection="1">
      <alignment horizontal="center" vertical="center"/>
      <protection locked="0"/>
    </xf>
    <xf numFmtId="2" fontId="6" fillId="6" borderId="22" xfId="0" applyNumberFormat="1" applyFont="1" applyFill="1" applyBorder="1" applyAlignment="1">
      <alignment horizontal="center" vertical="center"/>
    </xf>
    <xf numFmtId="2" fontId="6" fillId="6" borderId="24" xfId="0" applyNumberFormat="1" applyFont="1" applyFill="1" applyBorder="1" applyAlignment="1">
      <alignment horizontal="center" vertical="center"/>
    </xf>
    <xf numFmtId="2" fontId="6" fillId="6" borderId="44" xfId="0" applyNumberFormat="1" applyFont="1" applyFill="1" applyBorder="1" applyAlignment="1">
      <alignment horizontal="center" vertical="center"/>
    </xf>
    <xf numFmtId="2" fontId="6" fillId="6" borderId="33" xfId="0" applyNumberFormat="1" applyFont="1" applyFill="1" applyBorder="1" applyAlignment="1">
      <alignment horizontal="center" vertical="center"/>
    </xf>
    <xf numFmtId="0" fontId="4" fillId="11" borderId="42" xfId="0" applyFont="1" applyFill="1" applyBorder="1" applyAlignment="1" applyProtection="1">
      <alignment horizontal="center" vertical="center"/>
      <protection locked="0"/>
    </xf>
    <xf numFmtId="0" fontId="4" fillId="11" borderId="57" xfId="0" applyFont="1" applyFill="1" applyBorder="1" applyAlignment="1" applyProtection="1">
      <alignment horizontal="center" vertical="center"/>
      <protection locked="0"/>
    </xf>
    <xf numFmtId="0" fontId="28" fillId="6" borderId="55" xfId="0" applyFont="1" applyFill="1" applyBorder="1" applyAlignment="1">
      <alignment horizontal="center" vertical="center"/>
    </xf>
    <xf numFmtId="0" fontId="28" fillId="6" borderId="38" xfId="0" applyFont="1" applyFill="1" applyBorder="1" applyAlignment="1">
      <alignment horizontal="center" vertical="center"/>
    </xf>
    <xf numFmtId="0" fontId="28" fillId="6" borderId="44" xfId="0" applyFont="1" applyFill="1" applyBorder="1" applyAlignment="1">
      <alignment horizontal="center" vertical="center"/>
    </xf>
    <xf numFmtId="0" fontId="28" fillId="6" borderId="33" xfId="0" applyFont="1" applyFill="1" applyBorder="1" applyAlignment="1">
      <alignment horizontal="center" vertical="center"/>
    </xf>
    <xf numFmtId="0" fontId="8" fillId="0" borderId="14" xfId="0" applyFont="1" applyBorder="1" applyAlignment="1">
      <alignment horizontal="center" vertical="center"/>
    </xf>
    <xf numFmtId="0" fontId="8" fillId="0" borderId="53" xfId="0" applyFont="1" applyBorder="1" applyAlignment="1">
      <alignment horizontal="center" vertical="center"/>
    </xf>
    <xf numFmtId="0" fontId="8" fillId="0" borderId="7" xfId="0" applyFont="1" applyBorder="1" applyAlignment="1">
      <alignment horizontal="center" vertical="center"/>
    </xf>
    <xf numFmtId="0" fontId="8" fillId="0" borderId="5" xfId="0" applyFont="1" applyBorder="1" applyAlignment="1">
      <alignment horizontal="center" vertical="center"/>
    </xf>
    <xf numFmtId="0" fontId="8" fillId="0" borderId="15" xfId="0" applyFont="1" applyBorder="1" applyAlignment="1">
      <alignment horizontal="center" vertical="center"/>
    </xf>
    <xf numFmtId="0" fontId="11" fillId="10" borderId="0" xfId="0" applyFont="1" applyFill="1" applyAlignment="1">
      <alignment horizontal="center" vertical="center" wrapText="1"/>
    </xf>
    <xf numFmtId="0" fontId="11" fillId="10" borderId="0" xfId="0" applyFont="1" applyFill="1" applyAlignment="1">
      <alignment horizontal="center" vertical="center"/>
    </xf>
    <xf numFmtId="0" fontId="11" fillId="10" borderId="27" xfId="0" applyFont="1" applyFill="1" applyBorder="1" applyAlignment="1">
      <alignment horizontal="center" vertical="center"/>
    </xf>
    <xf numFmtId="0" fontId="4" fillId="0" borderId="31"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1" xfId="0" applyFont="1" applyBorder="1" applyAlignment="1">
      <alignment horizontal="left" indent="1"/>
    </xf>
    <xf numFmtId="0" fontId="4" fillId="0" borderId="0" xfId="0" applyFont="1" applyAlignment="1">
      <alignment horizontal="left" indent="1"/>
    </xf>
    <xf numFmtId="0" fontId="28" fillId="6" borderId="54" xfId="0" applyFont="1" applyFill="1" applyBorder="1" applyAlignment="1">
      <alignment horizontal="center" vertical="center"/>
    </xf>
    <xf numFmtId="0" fontId="28" fillId="6" borderId="32" xfId="0" applyFont="1" applyFill="1" applyBorder="1" applyAlignment="1">
      <alignment horizontal="center" vertical="center"/>
    </xf>
    <xf numFmtId="0" fontId="39" fillId="0" borderId="0" xfId="0" applyFont="1" applyAlignment="1">
      <alignment horizontal="right" vertical="center" wrapText="1"/>
    </xf>
    <xf numFmtId="0" fontId="39" fillId="0" borderId="27" xfId="0" applyFont="1" applyBorder="1" applyAlignment="1">
      <alignment horizontal="right" vertical="center" wrapText="1"/>
    </xf>
    <xf numFmtId="0" fontId="34" fillId="9" borderId="9" xfId="0" applyFont="1" applyFill="1" applyBorder="1" applyAlignment="1">
      <alignment horizontal="left" vertical="center" wrapText="1"/>
    </xf>
    <xf numFmtId="0" fontId="34" fillId="9" borderId="23" xfId="0" applyFont="1" applyFill="1" applyBorder="1" applyAlignment="1">
      <alignment horizontal="left" vertical="center" wrapText="1"/>
    </xf>
    <xf numFmtId="0" fontId="34" fillId="9" borderId="47" xfId="0" applyFont="1" applyFill="1" applyBorder="1" applyAlignment="1">
      <alignment horizontal="left" vertical="center" wrapText="1"/>
    </xf>
    <xf numFmtId="0" fontId="34" fillId="9" borderId="6" xfId="0" applyFont="1" applyFill="1" applyBorder="1" applyAlignment="1">
      <alignment horizontal="left" vertical="center" wrapText="1"/>
    </xf>
    <xf numFmtId="0" fontId="34" fillId="9" borderId="0" xfId="0" applyFont="1" applyFill="1" applyAlignment="1">
      <alignment horizontal="left" vertical="center" wrapText="1"/>
    </xf>
    <xf numFmtId="0" fontId="34" fillId="9" borderId="27" xfId="0" applyFont="1" applyFill="1" applyBorder="1" applyAlignment="1">
      <alignment horizontal="left" vertical="center" wrapText="1"/>
    </xf>
    <xf numFmtId="0" fontId="34" fillId="9" borderId="51" xfId="0" applyFont="1" applyFill="1" applyBorder="1" applyAlignment="1">
      <alignment horizontal="left" vertical="center" wrapText="1"/>
    </xf>
    <xf numFmtId="0" fontId="34" fillId="9" borderId="20" xfId="0" applyFont="1" applyFill="1" applyBorder="1" applyAlignment="1">
      <alignment horizontal="left" vertical="center" wrapText="1"/>
    </xf>
    <xf numFmtId="0" fontId="34" fillId="9" borderId="52" xfId="0" applyFont="1" applyFill="1" applyBorder="1" applyAlignment="1">
      <alignment horizontal="left" vertical="center" wrapText="1"/>
    </xf>
    <xf numFmtId="0" fontId="12" fillId="0" borderId="27" xfId="0" applyFont="1" applyBorder="1" applyAlignment="1">
      <alignment horizontal="right" vertical="center" textRotation="90"/>
    </xf>
    <xf numFmtId="2" fontId="3" fillId="6" borderId="45" xfId="0" applyNumberFormat="1" applyFont="1" applyFill="1" applyBorder="1" applyAlignment="1">
      <alignment horizontal="center"/>
    </xf>
    <xf numFmtId="2" fontId="3" fillId="6" borderId="58" xfId="0" applyNumberFormat="1" applyFont="1" applyFill="1" applyBorder="1" applyAlignment="1">
      <alignment horizont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37" fillId="0" borderId="56" xfId="0" applyFont="1" applyBorder="1" applyAlignment="1">
      <alignment horizontal="center" vertical="top" wrapText="1"/>
    </xf>
    <xf numFmtId="0" fontId="37" fillId="0" borderId="55" xfId="0" applyFont="1" applyBorder="1" applyAlignment="1">
      <alignment horizontal="center" vertical="top" wrapText="1"/>
    </xf>
    <xf numFmtId="0" fontId="42" fillId="0" borderId="22" xfId="0" applyFont="1" applyBorder="1" applyAlignment="1">
      <alignment horizontal="left" vertical="center" wrapText="1"/>
    </xf>
    <xf numFmtId="0" fontId="42" fillId="0" borderId="23" xfId="0" applyFont="1" applyBorder="1" applyAlignment="1">
      <alignment horizontal="left" vertical="center" wrapText="1"/>
    </xf>
    <xf numFmtId="0" fontId="42" fillId="0" borderId="47" xfId="0" applyFont="1" applyBorder="1" applyAlignment="1">
      <alignment horizontal="left" vertical="center" wrapText="1"/>
    </xf>
    <xf numFmtId="0" fontId="4" fillId="0" borderId="3" xfId="0" applyFont="1" applyBorder="1" applyAlignment="1">
      <alignment horizontal="left" indent="1"/>
    </xf>
    <xf numFmtId="0" fontId="4" fillId="0" borderId="13" xfId="0" applyFont="1" applyBorder="1" applyAlignment="1">
      <alignment horizontal="left" indent="1"/>
    </xf>
    <xf numFmtId="0" fontId="2" fillId="6" borderId="31" xfId="3" applyFill="1" applyBorder="1" applyAlignment="1" applyProtection="1">
      <alignment horizontal="center"/>
      <protection hidden="1"/>
    </xf>
    <xf numFmtId="0" fontId="2" fillId="6" borderId="44" xfId="3" applyFill="1" applyBorder="1" applyAlignment="1" applyProtection="1">
      <alignment horizontal="center"/>
      <protection hidden="1"/>
    </xf>
    <xf numFmtId="0" fontId="21" fillId="5" borderId="0" xfId="3" applyFont="1" applyFill="1" applyAlignment="1" applyProtection="1">
      <alignment horizontal="left" vertical="center" indent="3"/>
      <protection hidden="1"/>
    </xf>
    <xf numFmtId="0" fontId="21" fillId="5" borderId="2" xfId="3" applyFont="1" applyFill="1" applyBorder="1" applyAlignment="1" applyProtection="1">
      <alignment horizontal="left" vertical="center" indent="3"/>
      <protection hidden="1"/>
    </xf>
    <xf numFmtId="0" fontId="21" fillId="5" borderId="5" xfId="3" applyFont="1" applyFill="1" applyBorder="1" applyAlignment="1" applyProtection="1">
      <alignment horizontal="left" vertical="center" indent="3"/>
      <protection hidden="1"/>
    </xf>
    <xf numFmtId="0" fontId="21" fillId="5" borderId="15" xfId="3" applyFont="1" applyFill="1" applyBorder="1" applyAlignment="1" applyProtection="1">
      <alignment horizontal="left" vertical="center" indent="3"/>
      <protection hidden="1"/>
    </xf>
    <xf numFmtId="0" fontId="21" fillId="0" borderId="0" xfId="3" applyFont="1" applyAlignment="1" applyProtection="1">
      <alignment horizontal="left" vertical="center" indent="3"/>
      <protection hidden="1"/>
    </xf>
    <xf numFmtId="0" fontId="21" fillId="0" borderId="2" xfId="3" applyFont="1" applyBorder="1" applyAlignment="1" applyProtection="1">
      <alignment horizontal="left" vertical="center" indent="3"/>
      <protection hidden="1"/>
    </xf>
    <xf numFmtId="0" fontId="21" fillId="5" borderId="23" xfId="3" applyFont="1" applyFill="1" applyBorder="1" applyAlignment="1" applyProtection="1">
      <alignment horizontal="left" vertical="center" indent="3"/>
      <protection hidden="1"/>
    </xf>
    <xf numFmtId="0" fontId="21" fillId="5" borderId="24" xfId="3" applyFont="1" applyFill="1" applyBorder="1" applyAlignment="1" applyProtection="1">
      <alignment horizontal="left" vertical="center" indent="3"/>
      <protection hidden="1"/>
    </xf>
    <xf numFmtId="0" fontId="21" fillId="0" borderId="13" xfId="3" applyFont="1" applyBorder="1" applyAlignment="1" applyProtection="1">
      <alignment horizontal="left" vertical="center" indent="3"/>
      <protection hidden="1"/>
    </xf>
    <xf numFmtId="0" fontId="21" fillId="0" borderId="4" xfId="3" applyFont="1" applyBorder="1" applyAlignment="1" applyProtection="1">
      <alignment horizontal="left" vertical="center" indent="3"/>
      <protection hidden="1"/>
    </xf>
    <xf numFmtId="0" fontId="10" fillId="0" borderId="15" xfId="0" applyFont="1" applyBorder="1" applyAlignment="1" applyProtection="1">
      <alignment horizontal="center" wrapText="1"/>
      <protection hidden="1"/>
    </xf>
    <xf numFmtId="0" fontId="10" fillId="0" borderId="21" xfId="0" applyFont="1" applyBorder="1" applyAlignment="1" applyProtection="1">
      <alignment horizontal="center" wrapText="1"/>
      <protection hidden="1"/>
    </xf>
  </cellXfs>
  <cellStyles count="4">
    <cellStyle name="Migliaia" xfId="1" builtinId="3"/>
    <cellStyle name="Normale" xfId="0" builtinId="0"/>
    <cellStyle name="Normale 2" xfId="2" xr:uid="{00000000-0005-0000-0000-000006000000}"/>
    <cellStyle name="Normale 3" xfId="3" xr:uid="{00000000-0005-0000-0000-000007000000}"/>
  </cellStyles>
  <dxfs count="50">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9</xdr:col>
      <xdr:colOff>209550</xdr:colOff>
      <xdr:row>0</xdr:row>
      <xdr:rowOff>28575</xdr:rowOff>
    </xdr:from>
    <xdr:to>
      <xdr:col>11</xdr:col>
      <xdr:colOff>333373</xdr:colOff>
      <xdr:row>1</xdr:row>
      <xdr:rowOff>14495</xdr:rowOff>
    </xdr:to>
    <xdr:pic>
      <xdr:nvPicPr>
        <xdr:cNvPr id="4" name="Immagine 4" descr="rothoblaas_neg.pn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rcRect l="13772" t="14387" r="12467" b="15217"/>
        <a:stretch>
          <a:fillRect/>
        </a:stretch>
      </xdr:blipFill>
      <xdr:spPr bwMode="auto">
        <a:xfrm>
          <a:off x="6581775" y="28575"/>
          <a:ext cx="1123950" cy="428625"/>
        </a:xfrm>
        <a:prstGeom prst="rect">
          <a:avLst/>
        </a:prstGeom>
        <a:noFill/>
        <a:ln w="9525">
          <a:noFill/>
          <a:miter lim="800000"/>
        </a:ln>
      </xdr:spPr>
    </xdr:pic>
    <xdr:clientData/>
  </xdr:twoCellAnchor>
  <xdr:twoCellAnchor editAs="oneCell">
    <xdr:from>
      <xdr:col>0</xdr:col>
      <xdr:colOff>136711</xdr:colOff>
      <xdr:row>0</xdr:row>
      <xdr:rowOff>62192</xdr:rowOff>
    </xdr:from>
    <xdr:to>
      <xdr:col>1</xdr:col>
      <xdr:colOff>434471</xdr:colOff>
      <xdr:row>1</xdr:row>
      <xdr:rowOff>38587</xdr:rowOff>
    </xdr:to>
    <xdr:pic>
      <xdr:nvPicPr>
        <xdr:cNvPr id="5" name="Immagine 4" descr="rothoblaas_neg.png">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rcRect l="13772" t="14387" r="12467" b="15217"/>
        <a:stretch>
          <a:fillRect/>
        </a:stretch>
      </xdr:blipFill>
      <xdr:spPr bwMode="auto">
        <a:xfrm>
          <a:off x="133350" y="66675"/>
          <a:ext cx="1143000" cy="419100"/>
        </a:xfrm>
        <a:prstGeom prst="rect">
          <a:avLst/>
        </a:prstGeom>
        <a:noFill/>
        <a:ln w="9525">
          <a:noFill/>
          <a:miter lim="800000"/>
        </a:ln>
      </xdr:spPr>
    </xdr:pic>
    <xdr:clientData/>
  </xdr:twoCellAnchor>
  <xdr:twoCellAnchor editAs="oneCell">
    <xdr:from>
      <xdr:col>8</xdr:col>
      <xdr:colOff>140647</xdr:colOff>
      <xdr:row>17</xdr:row>
      <xdr:rowOff>58104</xdr:rowOff>
    </xdr:from>
    <xdr:to>
      <xdr:col>11</xdr:col>
      <xdr:colOff>130133</xdr:colOff>
      <xdr:row>25</xdr:row>
      <xdr:rowOff>70546</xdr:rowOff>
    </xdr:to>
    <xdr:pic>
      <xdr:nvPicPr>
        <xdr:cNvPr id="2" name="Immagin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5800725" y="3057525"/>
          <a:ext cx="1704975" cy="1533525"/>
        </a:xfrm>
        <a:prstGeom prst="rect">
          <a:avLst/>
        </a:prstGeom>
      </xdr:spPr>
    </xdr:pic>
    <xdr:clientData/>
  </xdr:twoCellAnchor>
  <mc:AlternateContent xmlns:mc="http://schemas.openxmlformats.org/markup-compatibility/2006">
    <mc:Choice xmlns:a14="http://schemas.microsoft.com/office/drawing/2010/main" Requires="a14">
      <xdr:twoCellAnchor>
        <xdr:from>
          <xdr:col>7</xdr:col>
          <xdr:colOff>323850</xdr:colOff>
          <xdr:row>5</xdr:row>
          <xdr:rowOff>104775</xdr:rowOff>
        </xdr:from>
        <xdr:to>
          <xdr:col>10</xdr:col>
          <xdr:colOff>361950</xdr:colOff>
          <xdr:row>7</xdr:row>
          <xdr:rowOff>76200</xdr:rowOff>
        </xdr:to>
        <xdr:sp macro="" textlink="">
          <xdr:nvSpPr>
            <xdr:cNvPr id="1049" name="Pulsante 25" descr="Reset"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it-IT" sz="1000" b="1" i="0" u="none" strike="noStrike" baseline="0">
                  <a:solidFill>
                    <a:srgbClr val="0066CC"/>
                  </a:solidFill>
                  <a:latin typeface="Arial Narrow"/>
                </a:rPr>
                <a:t>Esegui Nuovo calcolo </a:t>
              </a:r>
            </a:p>
          </xdr:txBody>
        </xdr:sp>
        <xdr:clientData fLocksWithSheet="0" fPrintsWithSheet="0"/>
      </xdr:twoCellAnchor>
    </mc:Choice>
    <mc:Fallback/>
  </mc:AlternateContent>
  <xdr:oneCellAnchor>
    <xdr:from>
      <xdr:col>9</xdr:col>
      <xdr:colOff>209550</xdr:colOff>
      <xdr:row>38</xdr:row>
      <xdr:rowOff>28575</xdr:rowOff>
    </xdr:from>
    <xdr:ext cx="1133475" cy="428625"/>
    <xdr:pic>
      <xdr:nvPicPr>
        <xdr:cNvPr id="17" name="Immagine 4" descr="rothoblaas_neg.png">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
        <a:srcRect l="13772" t="14387" r="12467" b="15217"/>
        <a:stretch>
          <a:fillRect/>
        </a:stretch>
      </xdr:blipFill>
      <xdr:spPr bwMode="auto">
        <a:xfrm>
          <a:off x="6581775" y="7324725"/>
          <a:ext cx="1133475" cy="428625"/>
        </a:xfrm>
        <a:prstGeom prst="rect">
          <a:avLst/>
        </a:prstGeom>
        <a:noFill/>
        <a:ln w="9525">
          <a:noFill/>
          <a:miter lim="800000"/>
        </a:ln>
      </xdr:spPr>
    </xdr:pic>
    <xdr:clientData/>
  </xdr:oneCellAnchor>
  <xdr:oneCellAnchor>
    <xdr:from>
      <xdr:col>0</xdr:col>
      <xdr:colOff>133350</xdr:colOff>
      <xdr:row>38</xdr:row>
      <xdr:rowOff>66675</xdr:rowOff>
    </xdr:from>
    <xdr:ext cx="1152525" cy="419100"/>
    <xdr:pic>
      <xdr:nvPicPr>
        <xdr:cNvPr id="18" name="Immagine 17" descr="rothoblaas_neg.png">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
        <a:srcRect l="13772" t="14387" r="12467" b="15217"/>
        <a:stretch>
          <a:fillRect/>
        </a:stretch>
      </xdr:blipFill>
      <xdr:spPr bwMode="auto">
        <a:xfrm>
          <a:off x="133350" y="7362825"/>
          <a:ext cx="1152525" cy="419100"/>
        </a:xfrm>
        <a:prstGeom prst="rect">
          <a:avLst/>
        </a:prstGeom>
        <a:noFill/>
        <a:ln w="9525">
          <a:noFill/>
          <a:miter lim="800000"/>
        </a:ln>
      </xdr:spPr>
    </xdr:pic>
    <xdr:clientData/>
  </xdr:oneCellAnchor>
  <mc:AlternateContent xmlns:mc="http://schemas.openxmlformats.org/markup-compatibility/2006">
    <mc:Choice xmlns:a14="http://schemas.microsoft.com/office/drawing/2010/main" Requires="a14">
      <xdr:twoCellAnchor>
        <xdr:from>
          <xdr:col>8</xdr:col>
          <xdr:colOff>581025</xdr:colOff>
          <xdr:row>1</xdr:row>
          <xdr:rowOff>76200</xdr:rowOff>
        </xdr:from>
        <xdr:to>
          <xdr:col>9</xdr:col>
          <xdr:colOff>600075</xdr:colOff>
          <xdr:row>1</xdr:row>
          <xdr:rowOff>381000</xdr:rowOff>
        </xdr:to>
        <xdr:sp macro="" textlink="">
          <xdr:nvSpPr>
            <xdr:cNvPr id="1065" name="Pulsante 41" descr="Reset"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it-IT" sz="800" b="1" i="0" u="none" strike="noStrike" baseline="0">
                  <a:solidFill>
                    <a:srgbClr val="000000"/>
                  </a:solidFill>
                  <a:latin typeface="Arial Narrow"/>
                </a:rPr>
                <a:t>Scopri ISTRUZIONI</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10</xdr:col>
          <xdr:colOff>76200</xdr:colOff>
          <xdr:row>1</xdr:row>
          <xdr:rowOff>66675</xdr:rowOff>
        </xdr:from>
        <xdr:to>
          <xdr:col>11</xdr:col>
          <xdr:colOff>438150</xdr:colOff>
          <xdr:row>1</xdr:row>
          <xdr:rowOff>381000</xdr:rowOff>
        </xdr:to>
        <xdr:sp macro="" textlink="">
          <xdr:nvSpPr>
            <xdr:cNvPr id="1066" name="Pulsante 42" descr="Reset"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it-IT" sz="800" b="1" i="0" u="none" strike="noStrike" baseline="0">
                  <a:solidFill>
                    <a:srgbClr val="000000"/>
                  </a:solidFill>
                  <a:latin typeface="Arial Narrow"/>
                </a:rPr>
                <a:t>Nascondi ISTRUZIONI</a:t>
              </a:r>
            </a:p>
          </xdr:txBody>
        </xdr:sp>
        <xdr:clientData fLocksWithSheet="0" fPrintsWithSheet="0"/>
      </xdr:twoCellAnchor>
    </mc:Choice>
    <mc:Fallback/>
  </mc:AlternateContent>
  <xdr:twoCellAnchor editAs="oneCell">
    <xdr:from>
      <xdr:col>7</xdr:col>
      <xdr:colOff>293078</xdr:colOff>
      <xdr:row>7</xdr:row>
      <xdr:rowOff>153864</xdr:rowOff>
    </xdr:from>
    <xdr:to>
      <xdr:col>10</xdr:col>
      <xdr:colOff>371824</xdr:colOff>
      <xdr:row>17</xdr:row>
      <xdr:rowOff>29307</xdr:rowOff>
    </xdr:to>
    <xdr:pic>
      <xdr:nvPicPr>
        <xdr:cNvPr id="6" name="Immagin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stretch>
          <a:fillRect/>
        </a:stretch>
      </xdr:blipFill>
      <xdr:spPr>
        <a:xfrm>
          <a:off x="5467350" y="1533525"/>
          <a:ext cx="1876425" cy="1495425"/>
        </a:xfrm>
        <a:prstGeom prst="rect">
          <a:avLst/>
        </a:prstGeom>
      </xdr:spPr>
    </xdr:pic>
    <xdr:clientData/>
  </xdr:twoCellAnchor>
  <xdr:twoCellAnchor editAs="absolute">
    <xdr:from>
      <xdr:col>0</xdr:col>
      <xdr:colOff>43960</xdr:colOff>
      <xdr:row>1</xdr:row>
      <xdr:rowOff>197827</xdr:rowOff>
    </xdr:from>
    <xdr:to>
      <xdr:col>3</xdr:col>
      <xdr:colOff>190499</xdr:colOff>
      <xdr:row>1</xdr:row>
      <xdr:rowOff>549651</xdr:rowOff>
    </xdr:to>
    <xdr:pic>
      <xdr:nvPicPr>
        <xdr:cNvPr id="14" name="Immagin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4"/>
        <a:srcRect t="64904" r="52587"/>
        <a:stretch>
          <a:fillRect/>
        </a:stretch>
      </xdr:blipFill>
      <xdr:spPr>
        <a:xfrm>
          <a:off x="47625" y="638175"/>
          <a:ext cx="2590800" cy="352425"/>
        </a:xfrm>
        <a:prstGeom prst="rect">
          <a:avLst/>
        </a:prstGeom>
        <a:ln>
          <a:solidFill>
            <a:srgbClr val="000000"/>
          </a:solid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723900</xdr:colOff>
          <xdr:row>0</xdr:row>
          <xdr:rowOff>171450</xdr:rowOff>
        </xdr:from>
        <xdr:to>
          <xdr:col>16</xdr:col>
          <xdr:colOff>742950</xdr:colOff>
          <xdr:row>3</xdr:row>
          <xdr:rowOff>76200</xdr:rowOff>
        </xdr:to>
        <xdr:sp macro="" textlink="">
          <xdr:nvSpPr>
            <xdr:cNvPr id="10244" name="Pulsante 4" hidden="1">
              <a:extLst>
                <a:ext uri="{63B3BB69-23CF-44E3-9099-C40C66FF867C}">
                  <a14:compatExt spid="_x0000_s10244"/>
                </a:ext>
                <a:ext uri="{FF2B5EF4-FFF2-40B4-BE49-F238E27FC236}">
                  <a16:creationId xmlns:a16="http://schemas.microsoft.com/office/drawing/2014/main" id="{00000000-0008-0000-0100-0000042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it-IT" sz="1000" b="0" i="0" u="none" strike="noStrike" baseline="0">
                  <a:solidFill>
                    <a:srgbClr val="000000"/>
                  </a:solidFill>
                  <a:latin typeface="Arial"/>
                  <a:cs typeface="Arial"/>
                </a:rPr>
                <a:t>NASCONDI CELLE foglio "UV_it"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695325</xdr:colOff>
          <xdr:row>4</xdr:row>
          <xdr:rowOff>85725</xdr:rowOff>
        </xdr:from>
        <xdr:to>
          <xdr:col>16</xdr:col>
          <xdr:colOff>742950</xdr:colOff>
          <xdr:row>5</xdr:row>
          <xdr:rowOff>314325</xdr:rowOff>
        </xdr:to>
        <xdr:sp macro="" textlink="">
          <xdr:nvSpPr>
            <xdr:cNvPr id="10245" name="Pulsante 5" hidden="1">
              <a:extLst>
                <a:ext uri="{63B3BB69-23CF-44E3-9099-C40C66FF867C}">
                  <a14:compatExt spid="_x0000_s10245"/>
                </a:ext>
                <a:ext uri="{FF2B5EF4-FFF2-40B4-BE49-F238E27FC236}">
                  <a16:creationId xmlns:a16="http://schemas.microsoft.com/office/drawing/2014/main" id="{00000000-0008-0000-0100-0000052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it-IT" sz="1000" b="0" i="0" u="none" strike="noStrike" baseline="0">
                  <a:solidFill>
                    <a:srgbClr val="000000"/>
                  </a:solidFill>
                  <a:latin typeface="Arial"/>
                  <a:cs typeface="Arial"/>
                </a:rPr>
                <a:t>SCOPRI CELLE foglio "UV_it"</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7328</xdr:colOff>
      <xdr:row>0</xdr:row>
      <xdr:rowOff>21981</xdr:rowOff>
    </xdr:from>
    <xdr:to>
      <xdr:col>2</xdr:col>
      <xdr:colOff>924415</xdr:colOff>
      <xdr:row>0</xdr:row>
      <xdr:rowOff>498231</xdr:rowOff>
    </xdr:to>
    <xdr:pic>
      <xdr:nvPicPr>
        <xdr:cNvPr id="6" name="Immagine 5" descr="Rothoblaas | Cortaccia">
          <a:extLst>
            <a:ext uri="{FF2B5EF4-FFF2-40B4-BE49-F238E27FC236}">
              <a16:creationId xmlns:a16="http://schemas.microsoft.com/office/drawing/2014/main" id="{48EC0E10-B36F-0247-56BF-73656DD585B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1040" b="28608"/>
        <a:stretch>
          <a:fillRect/>
        </a:stretch>
      </xdr:blipFill>
      <xdr:spPr bwMode="auto">
        <a:xfrm>
          <a:off x="7328" y="21981"/>
          <a:ext cx="1166203"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173936</xdr:colOff>
      <xdr:row>2</xdr:row>
      <xdr:rowOff>124240</xdr:rowOff>
    </xdr:from>
    <xdr:to>
      <xdr:col>6</xdr:col>
      <xdr:colOff>745436</xdr:colOff>
      <xdr:row>5</xdr:row>
      <xdr:rowOff>272235</xdr:rowOff>
    </xdr:to>
    <xdr:pic>
      <xdr:nvPicPr>
        <xdr:cNvPr id="2" name="Immagine 1">
          <a:extLst>
            <a:ext uri="{FF2B5EF4-FFF2-40B4-BE49-F238E27FC236}">
              <a16:creationId xmlns:a16="http://schemas.microsoft.com/office/drawing/2014/main" id="{FAC891E4-302F-FC86-00D5-66B5FC132347}"/>
            </a:ext>
          </a:extLst>
        </xdr:cNvPr>
        <xdr:cNvPicPr>
          <a:picLocks noChangeAspect="1"/>
        </xdr:cNvPicPr>
      </xdr:nvPicPr>
      <xdr:blipFill>
        <a:blip xmlns:r="http://schemas.openxmlformats.org/officeDocument/2006/relationships" r:embed="rId2"/>
        <a:stretch>
          <a:fillRect/>
        </a:stretch>
      </xdr:blipFill>
      <xdr:spPr>
        <a:xfrm>
          <a:off x="3089414" y="1076740"/>
          <a:ext cx="2393674" cy="893430"/>
        </a:xfrm>
        <a:prstGeom prst="rect">
          <a:avLst/>
        </a:prstGeom>
      </xdr:spPr>
    </xdr:pic>
    <xdr:clientData/>
  </xdr:twoCellAnchor>
  <xdr:twoCellAnchor editAs="oneCell">
    <xdr:from>
      <xdr:col>8</xdr:col>
      <xdr:colOff>182218</xdr:colOff>
      <xdr:row>5</xdr:row>
      <xdr:rowOff>457659</xdr:rowOff>
    </xdr:from>
    <xdr:to>
      <xdr:col>11</xdr:col>
      <xdr:colOff>315689</xdr:colOff>
      <xdr:row>20</xdr:row>
      <xdr:rowOff>12592</xdr:rowOff>
    </xdr:to>
    <xdr:pic>
      <xdr:nvPicPr>
        <xdr:cNvPr id="3" name="Immagine 2">
          <a:extLst>
            <a:ext uri="{FF2B5EF4-FFF2-40B4-BE49-F238E27FC236}">
              <a16:creationId xmlns:a16="http://schemas.microsoft.com/office/drawing/2014/main" id="{2E933033-D3A3-5854-52E3-747F3C9B7FBB}"/>
            </a:ext>
          </a:extLst>
        </xdr:cNvPr>
        <xdr:cNvPicPr>
          <a:picLocks noChangeAspect="1"/>
        </xdr:cNvPicPr>
      </xdr:nvPicPr>
      <xdr:blipFill>
        <a:blip xmlns:r="http://schemas.openxmlformats.org/officeDocument/2006/relationships" r:embed="rId3"/>
        <a:stretch>
          <a:fillRect/>
        </a:stretch>
      </xdr:blipFill>
      <xdr:spPr>
        <a:xfrm>
          <a:off x="6427305" y="2155594"/>
          <a:ext cx="2146145" cy="17912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723900</xdr:colOff>
          <xdr:row>0</xdr:row>
          <xdr:rowOff>171450</xdr:rowOff>
        </xdr:from>
        <xdr:to>
          <xdr:col>16</xdr:col>
          <xdr:colOff>742950</xdr:colOff>
          <xdr:row>3</xdr:row>
          <xdr:rowOff>76200</xdr:rowOff>
        </xdr:to>
        <xdr:sp macro="" textlink="">
          <xdr:nvSpPr>
            <xdr:cNvPr id="12289" name="Button 1" hidden="1">
              <a:extLst>
                <a:ext uri="{63B3BB69-23CF-44E3-9099-C40C66FF867C}">
                  <a14:compatExt spid="_x0000_s12289"/>
                </a:ext>
                <a:ext uri="{FF2B5EF4-FFF2-40B4-BE49-F238E27FC236}">
                  <a16:creationId xmlns:a16="http://schemas.microsoft.com/office/drawing/2014/main" id="{00000000-0008-0000-0300-0000013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it-IT" sz="1000" b="0" i="0" u="none" strike="noStrike" baseline="0">
                  <a:solidFill>
                    <a:srgbClr val="000000"/>
                  </a:solidFill>
                  <a:latin typeface="Arial"/>
                  <a:cs typeface="Arial"/>
                </a:rPr>
                <a:t>NASCONDI CELLE foglio "UV_en"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695325</xdr:colOff>
          <xdr:row>4</xdr:row>
          <xdr:rowOff>85725</xdr:rowOff>
        </xdr:from>
        <xdr:to>
          <xdr:col>16</xdr:col>
          <xdr:colOff>742950</xdr:colOff>
          <xdr:row>5</xdr:row>
          <xdr:rowOff>314325</xdr:rowOff>
        </xdr:to>
        <xdr:sp macro="" textlink="">
          <xdr:nvSpPr>
            <xdr:cNvPr id="12290" name="Button 2" hidden="1">
              <a:extLst>
                <a:ext uri="{63B3BB69-23CF-44E3-9099-C40C66FF867C}">
                  <a14:compatExt spid="_x0000_s12290"/>
                </a:ext>
                <a:ext uri="{FF2B5EF4-FFF2-40B4-BE49-F238E27FC236}">
                  <a16:creationId xmlns:a16="http://schemas.microsoft.com/office/drawing/2014/main" id="{00000000-0008-0000-0300-0000023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it-IT" sz="1000" b="0" i="0" u="none" strike="noStrike" baseline="0">
                  <a:solidFill>
                    <a:srgbClr val="000000"/>
                  </a:solidFill>
                  <a:latin typeface="Arial"/>
                  <a:cs typeface="Arial"/>
                </a:rPr>
                <a:t>SCOPRI CELLE foglio "UV_en"</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othoblaas.sharepoint.com/01_PRODUCT/01_PROGETTI/M34_NUOVO%20TOP%20UV%20GH/06_161012_ALLEGATI%20TECNICI%20e%20STATICA/160926_Manuela_CALCOLO/CALCOLO%20TOP%20UV%20EXPORT%202016%2010%2011%20MAN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sheetName val="UV 80 (UVT60215)"/>
      <sheetName val="UV 60 (UVT60160)"/>
      <sheetName val="UV 40 (UVT60115)"/>
      <sheetName val="UV 30 (UVT4085)"/>
      <sheetName val="UV 20 (UVT3070)"/>
      <sheetName val="Legende"/>
      <sheetName val="tabelle scheda tecnica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2F58F-4B29-46AB-A346-E12E1822BCD9}">
  <sheetPr codeName="Foglio5">
    <tabColor rgb="FF92D050"/>
  </sheetPr>
  <dimension ref="A1:AB59"/>
  <sheetViews>
    <sheetView showGridLines="0" topLeftCell="A19" zoomScale="115" zoomScaleNormal="115" zoomScaleSheetLayoutView="115" workbookViewId="0">
      <selection activeCell="AB26" sqref="AB26"/>
    </sheetView>
  </sheetViews>
  <sheetFormatPr defaultColWidth="9" defaultRowHeight="12.75" x14ac:dyDescent="0.2"/>
  <cols>
    <col min="1" max="1" width="12.7109375" customWidth="1" collapsed="1"/>
    <col min="2" max="2" width="13.28515625" customWidth="1" collapsed="1"/>
    <col min="3" max="6" width="10.7109375" customWidth="1" collapsed="1"/>
    <col min="7" max="7" width="8.7109375" customWidth="1" collapsed="1"/>
    <col min="8" max="8" width="7.28515625" customWidth="1" collapsed="1"/>
    <col min="9" max="9" width="10.7109375" customWidth="1" collapsed="1"/>
    <col min="10" max="10" width="9" collapsed="1"/>
    <col min="11" max="11" width="6" customWidth="1" collapsed="1"/>
    <col min="12" max="12" width="9" collapsed="1"/>
    <col min="13" max="14" width="9" hidden="1" customWidth="1" collapsed="1"/>
    <col min="15" max="15" width="19.28515625" hidden="1" customWidth="1" collapsed="1"/>
    <col min="16" max="16" width="12.28515625" hidden="1" customWidth="1" collapsed="1"/>
    <col min="17" max="18" width="20" hidden="1" customWidth="1" collapsed="1"/>
    <col min="19" max="19" width="17" hidden="1" customWidth="1" collapsed="1"/>
    <col min="20" max="20" width="20" hidden="1" customWidth="1" collapsed="1"/>
    <col min="21" max="21" width="18.42578125" hidden="1" customWidth="1" collapsed="1"/>
    <col min="22" max="22" width="15.5703125" hidden="1" customWidth="1" collapsed="1"/>
    <col min="23" max="24" width="15.7109375" hidden="1" customWidth="1" collapsed="1"/>
    <col min="25" max="25" width="18.42578125" hidden="1" customWidth="1" collapsed="1"/>
    <col min="26" max="26" width="9" hidden="1" customWidth="1" collapsed="1"/>
    <col min="27" max="16384" width="9" collapsed="1"/>
  </cols>
  <sheetData>
    <row r="1" spans="1:28" ht="34.700000000000003" customHeight="1" x14ac:dyDescent="0.25">
      <c r="A1" s="284" t="s">
        <v>0</v>
      </c>
      <c r="B1" s="285"/>
      <c r="C1" s="285"/>
      <c r="D1" s="285"/>
      <c r="E1" s="285"/>
      <c r="F1" s="285"/>
      <c r="G1" s="285"/>
      <c r="H1" s="285"/>
      <c r="I1" s="285"/>
      <c r="J1" s="285"/>
      <c r="K1" s="285"/>
      <c r="L1" s="286"/>
      <c r="AB1" s="191"/>
    </row>
    <row r="2" spans="1:28" ht="49.15" customHeight="1" x14ac:dyDescent="0.2">
      <c r="A2" s="202" t="s">
        <v>1</v>
      </c>
      <c r="B2" s="180"/>
      <c r="C2" s="180"/>
      <c r="D2" s="180"/>
      <c r="E2" s="180"/>
      <c r="F2" s="180"/>
      <c r="G2" s="180"/>
      <c r="H2" s="180"/>
      <c r="I2" s="180"/>
      <c r="J2" s="180"/>
      <c r="K2" s="180"/>
      <c r="L2" s="181"/>
      <c r="AB2" s="190"/>
    </row>
    <row r="3" spans="1:28" ht="42" hidden="1" customHeight="1" x14ac:dyDescent="0.2">
      <c r="A3" s="296" t="s">
        <v>2</v>
      </c>
      <c r="B3" s="297"/>
      <c r="C3" s="297"/>
      <c r="D3" s="297"/>
      <c r="E3" s="297"/>
      <c r="F3" s="297"/>
      <c r="G3" s="297"/>
      <c r="H3" s="297"/>
      <c r="I3" s="297"/>
      <c r="J3" s="297"/>
      <c r="K3" s="297"/>
      <c r="L3" s="298"/>
    </row>
    <row r="4" spans="1:28" ht="43.15" hidden="1" customHeight="1" thickBot="1" x14ac:dyDescent="0.25">
      <c r="A4" s="299"/>
      <c r="B4" s="300"/>
      <c r="C4" s="300"/>
      <c r="D4" s="300"/>
      <c r="E4" s="300"/>
      <c r="F4" s="300"/>
      <c r="G4" s="300"/>
      <c r="H4" s="300"/>
      <c r="I4" s="300"/>
      <c r="J4" s="300"/>
      <c r="K4" s="300"/>
      <c r="L4" s="301"/>
      <c r="M4" s="77"/>
    </row>
    <row r="5" spans="1:28" ht="42" hidden="1" customHeight="1" x14ac:dyDescent="0.2">
      <c r="A5" s="302"/>
      <c r="B5" s="303"/>
      <c r="C5" s="303"/>
      <c r="D5" s="303"/>
      <c r="E5" s="303"/>
      <c r="F5" s="303"/>
      <c r="G5" s="303"/>
      <c r="H5" s="303"/>
      <c r="I5" s="303"/>
      <c r="J5" s="303"/>
      <c r="K5" s="303"/>
      <c r="L5" s="304"/>
      <c r="M5" s="77"/>
      <c r="O5" s="78" t="s">
        <v>3</v>
      </c>
      <c r="P5" s="79" t="s">
        <v>4</v>
      </c>
      <c r="Q5" s="80" t="s">
        <v>3</v>
      </c>
      <c r="R5" s="81" t="s">
        <v>4</v>
      </c>
    </row>
    <row r="6" spans="1:28" x14ac:dyDescent="0.2">
      <c r="A6" s="178"/>
      <c r="B6" s="178"/>
      <c r="C6" s="178"/>
      <c r="D6" s="178"/>
      <c r="E6" s="178"/>
      <c r="F6" s="178"/>
      <c r="G6" s="178"/>
      <c r="H6" s="178"/>
      <c r="I6" s="178"/>
      <c r="J6" s="178"/>
      <c r="K6" s="178"/>
      <c r="L6" s="182"/>
      <c r="O6" s="82" t="e">
        <f>MATCH($D$7,$O$8:$O$9,0)</f>
        <v>#N/A</v>
      </c>
      <c r="P6" s="83" t="e">
        <f>INDEX($O$8:$P$9,O6,2)</f>
        <v>#N/A</v>
      </c>
      <c r="Q6" s="82" t="e">
        <f>MATCH($D$9,Q8:Q15,0)</f>
        <v>#N/A</v>
      </c>
      <c r="R6" s="84" t="e">
        <f>INDEX($Q$8:$R$15,Q6,2)</f>
        <v>#N/A</v>
      </c>
    </row>
    <row r="7" spans="1:28" ht="13.5" x14ac:dyDescent="0.25">
      <c r="B7" s="186" t="s">
        <v>5</v>
      </c>
      <c r="C7" s="77"/>
      <c r="D7" s="266"/>
      <c r="E7" s="267"/>
      <c r="F7" s="268"/>
      <c r="L7" s="91"/>
      <c r="O7" s="86" t="s">
        <v>5</v>
      </c>
      <c r="Q7" s="86" t="s">
        <v>6</v>
      </c>
      <c r="R7" s="87" t="s">
        <v>7</v>
      </c>
      <c r="T7" s="177" t="s">
        <v>8</v>
      </c>
    </row>
    <row r="8" spans="1:28" ht="13.5" x14ac:dyDescent="0.25">
      <c r="B8" s="187"/>
      <c r="L8" s="91"/>
      <c r="O8" s="88" t="s">
        <v>9</v>
      </c>
      <c r="P8" s="89" t="s">
        <v>10</v>
      </c>
      <c r="Q8" s="88" t="s">
        <v>11</v>
      </c>
      <c r="R8" s="90" t="s">
        <v>12</v>
      </c>
      <c r="S8" s="176">
        <v>5</v>
      </c>
      <c r="T8" s="261" t="s">
        <v>13</v>
      </c>
    </row>
    <row r="9" spans="1:28" ht="13.5" x14ac:dyDescent="0.25">
      <c r="B9" s="186" t="s">
        <v>14</v>
      </c>
      <c r="C9" s="77"/>
      <c r="D9" s="266"/>
      <c r="E9" s="267"/>
      <c r="F9" s="268"/>
      <c r="L9" s="91"/>
      <c r="O9" s="88" t="s">
        <v>15</v>
      </c>
      <c r="P9" s="89" t="s">
        <v>16</v>
      </c>
      <c r="Q9" s="88" t="s">
        <v>17</v>
      </c>
      <c r="R9" s="90" t="s">
        <v>18</v>
      </c>
      <c r="S9" s="176">
        <v>6</v>
      </c>
      <c r="T9" s="261"/>
    </row>
    <row r="10" spans="1:28" ht="13.5" x14ac:dyDescent="0.25">
      <c r="B10" s="188"/>
      <c r="L10" s="91"/>
      <c r="O10" s="88"/>
      <c r="P10" s="89"/>
      <c r="Q10" s="88" t="s">
        <v>19</v>
      </c>
      <c r="R10" s="90" t="s">
        <v>18</v>
      </c>
      <c r="S10" s="176">
        <v>7</v>
      </c>
      <c r="T10" s="261"/>
    </row>
    <row r="11" spans="1:28" ht="13.5" x14ac:dyDescent="0.25">
      <c r="B11" s="186" t="s">
        <v>20</v>
      </c>
      <c r="D11" s="266"/>
      <c r="E11" s="267"/>
      <c r="F11" s="268"/>
      <c r="L11" s="91"/>
      <c r="O11" s="88"/>
      <c r="P11" s="89"/>
      <c r="Q11" s="88" t="s">
        <v>21</v>
      </c>
      <c r="R11" s="90" t="s">
        <v>18</v>
      </c>
      <c r="S11" s="176">
        <v>8</v>
      </c>
      <c r="T11" s="261"/>
    </row>
    <row r="12" spans="1:28" ht="14.25" thickBot="1" x14ac:dyDescent="0.3">
      <c r="B12" s="188"/>
      <c r="L12" s="91"/>
      <c r="O12" s="92"/>
      <c r="P12" s="93"/>
      <c r="Q12" s="88" t="s">
        <v>22</v>
      </c>
      <c r="R12" s="90" t="s">
        <v>18</v>
      </c>
      <c r="S12" s="176">
        <v>9</v>
      </c>
      <c r="T12" s="261"/>
    </row>
    <row r="13" spans="1:28" ht="13.5" x14ac:dyDescent="0.25">
      <c r="B13" s="186" t="s">
        <v>23</v>
      </c>
      <c r="D13" s="266"/>
      <c r="E13" s="267"/>
      <c r="F13" s="268"/>
      <c r="L13" s="91"/>
      <c r="Q13" s="88" t="s">
        <v>24</v>
      </c>
      <c r="R13" s="90" t="s">
        <v>18</v>
      </c>
      <c r="S13" s="176">
        <v>10</v>
      </c>
      <c r="T13" s="261"/>
    </row>
    <row r="14" spans="1:28" ht="13.5" x14ac:dyDescent="0.25">
      <c r="B14" s="188"/>
      <c r="L14" s="91"/>
      <c r="Q14" s="88" t="s">
        <v>25</v>
      </c>
      <c r="R14" s="90" t="s">
        <v>18</v>
      </c>
      <c r="S14" s="176">
        <v>11</v>
      </c>
      <c r="T14" s="261"/>
    </row>
    <row r="15" spans="1:28" ht="13.15" customHeight="1" thickBot="1" x14ac:dyDescent="0.3">
      <c r="B15" s="186" t="s">
        <v>26</v>
      </c>
      <c r="D15" s="287" t="str">
        <f>IF(D7="","",IF(D7="LEGNO - LEGNO","-",S19))</f>
        <v/>
      </c>
      <c r="E15" s="288"/>
      <c r="F15" s="289"/>
      <c r="L15" s="91"/>
      <c r="Q15" s="92" t="s">
        <v>27</v>
      </c>
      <c r="R15" s="94" t="s">
        <v>18</v>
      </c>
      <c r="S15" s="176">
        <v>12</v>
      </c>
      <c r="T15" s="261"/>
    </row>
    <row r="16" spans="1:28" ht="13.15" customHeight="1" x14ac:dyDescent="0.2">
      <c r="B16" s="187"/>
      <c r="L16" s="91"/>
    </row>
    <row r="17" spans="1:20" ht="13.15" customHeight="1" x14ac:dyDescent="0.25">
      <c r="B17" s="186" t="s">
        <v>28</v>
      </c>
      <c r="D17" s="266"/>
      <c r="E17" s="267"/>
      <c r="F17" s="268"/>
      <c r="L17" s="91"/>
      <c r="O17" s="95" t="e">
        <f>MATCH(D11,O19:O23,0)</f>
        <v>#N/A</v>
      </c>
      <c r="Q17" s="95" t="e">
        <f>MATCH(D13,Q19:Q22,0)</f>
        <v>#N/A</v>
      </c>
      <c r="R17" s="95"/>
      <c r="S17" s="95" t="e">
        <f>MATCH(D15,S19:S30,0)</f>
        <v>#N/A</v>
      </c>
      <c r="T17" s="96"/>
    </row>
    <row r="18" spans="1:20" ht="13.15" customHeight="1" x14ac:dyDescent="0.2">
      <c r="L18" s="91"/>
      <c r="O18" s="97" t="s">
        <v>29</v>
      </c>
      <c r="Q18" s="97" t="s">
        <v>30</v>
      </c>
      <c r="R18" s="97"/>
      <c r="S18" s="97" t="s">
        <v>31</v>
      </c>
      <c r="T18" s="98"/>
    </row>
    <row r="19" spans="1:20" ht="13.15" customHeight="1" x14ac:dyDescent="0.25">
      <c r="L19" s="91"/>
      <c r="O19" s="89" t="s">
        <v>32</v>
      </c>
      <c r="P19" s="176">
        <v>16</v>
      </c>
      <c r="Q19" s="89" t="s">
        <v>33</v>
      </c>
      <c r="R19" s="89" t="s">
        <v>12</v>
      </c>
      <c r="S19" s="89" t="s">
        <v>34</v>
      </c>
      <c r="T19" s="77"/>
    </row>
    <row r="20" spans="1:20" ht="17.45" customHeight="1" x14ac:dyDescent="0.35">
      <c r="B20" s="85"/>
      <c r="D20" s="99" t="s">
        <v>35</v>
      </c>
      <c r="E20" s="100" t="str">
        <f>IF(D17="","",VLOOKUP($O32,'tabelle scheda tecnica '!$A$8:$R$100,'tabelle scheda tecnica '!$A$2,FALSE))</f>
        <v/>
      </c>
      <c r="F20" s="179" t="s">
        <v>36</v>
      </c>
      <c r="L20" s="91"/>
      <c r="O20" s="89" t="s">
        <v>37</v>
      </c>
      <c r="P20" s="176">
        <v>17</v>
      </c>
      <c r="Q20" s="89" t="s">
        <v>38</v>
      </c>
      <c r="R20" s="89" t="s">
        <v>12</v>
      </c>
      <c r="S20" s="89"/>
      <c r="T20" s="77"/>
    </row>
    <row r="21" spans="1:20" ht="17.45" customHeight="1" x14ac:dyDescent="0.35">
      <c r="A21" s="294" t="s">
        <v>39</v>
      </c>
      <c r="B21" s="295"/>
      <c r="D21" s="99" t="s">
        <v>40</v>
      </c>
      <c r="E21" s="101" t="str">
        <f>IF(D17="","",VLOOKUP($O33,'tabelle scheda tecnica '!$A$8:$R$100,'tabelle scheda tecnica '!$A$2,FALSE))</f>
        <v/>
      </c>
      <c r="F21" s="179" t="s">
        <v>36</v>
      </c>
      <c r="G21" s="183" t="str">
        <f>IF(D15="SKS10100CE","trave-trave (v. catalogo UV)","")</f>
        <v/>
      </c>
      <c r="L21" s="91"/>
      <c r="O21" s="89" t="s">
        <v>41</v>
      </c>
      <c r="P21" s="176">
        <v>18</v>
      </c>
      <c r="Q21" s="89" t="s">
        <v>42</v>
      </c>
      <c r="R21" s="89" t="s">
        <v>18</v>
      </c>
      <c r="S21" s="89"/>
      <c r="T21" s="77"/>
    </row>
    <row r="22" spans="1:20" ht="17.45" customHeight="1" x14ac:dyDescent="0.35">
      <c r="A22" s="294"/>
      <c r="B22" s="295"/>
      <c r="D22" s="99" t="s">
        <v>43</v>
      </c>
      <c r="E22" s="100" t="str">
        <f>IF(D17="","",VLOOKUP($O34,'tabelle scheda tecnica '!$A$8:$R$100,'tabelle scheda tecnica '!$A$2,FALSE))</f>
        <v/>
      </c>
      <c r="F22" s="179" t="s">
        <v>36</v>
      </c>
      <c r="L22" s="91"/>
      <c r="P22" s="176">
        <v>19</v>
      </c>
      <c r="Q22" s="89" t="s">
        <v>44</v>
      </c>
      <c r="R22" s="89" t="s">
        <v>18</v>
      </c>
      <c r="S22" s="89"/>
      <c r="T22" s="77"/>
    </row>
    <row r="23" spans="1:20" ht="17.45" customHeight="1" thickBot="1" x14ac:dyDescent="0.4">
      <c r="B23" s="91"/>
      <c r="D23" s="99" t="s">
        <v>45</v>
      </c>
      <c r="E23" s="100" t="str">
        <f>IF(D17="","",VLOOKUP($O35,'tabelle scheda tecnica '!$A$8:$R$100,'tabelle scheda tecnica '!$A$2,FALSE))</f>
        <v/>
      </c>
      <c r="F23" s="179" t="s">
        <v>36</v>
      </c>
      <c r="L23" s="91"/>
      <c r="P23" s="77"/>
      <c r="Q23" s="77"/>
      <c r="R23" s="77"/>
      <c r="S23" s="77"/>
      <c r="T23" s="77"/>
    </row>
    <row r="24" spans="1:20" x14ac:dyDescent="0.2">
      <c r="L24" s="91"/>
      <c r="O24" s="78"/>
      <c r="P24" s="255" t="s">
        <v>4</v>
      </c>
      <c r="S24" s="77"/>
      <c r="T24" s="77"/>
    </row>
    <row r="25" spans="1:20" x14ac:dyDescent="0.2">
      <c r="L25" s="91"/>
      <c r="O25" s="82"/>
      <c r="P25" s="257"/>
      <c r="S25" s="77"/>
      <c r="T25" s="77"/>
    </row>
    <row r="26" spans="1:20" ht="13.15" customHeight="1" x14ac:dyDescent="0.2">
      <c r="A26" s="294" t="s">
        <v>46</v>
      </c>
      <c r="B26" s="295"/>
      <c r="D26" s="263"/>
      <c r="E26" s="264"/>
      <c r="F26" s="265"/>
      <c r="L26" s="91"/>
      <c r="O26" s="86" t="s">
        <v>28</v>
      </c>
      <c r="P26" s="102" t="e">
        <f>INDEX($O$27:$P$28,O6,2)</f>
        <v>#N/A</v>
      </c>
      <c r="S26" s="77"/>
      <c r="T26" s="77"/>
    </row>
    <row r="27" spans="1:20" ht="13.15" customHeight="1" x14ac:dyDescent="0.2">
      <c r="A27" s="294"/>
      <c r="B27" s="295"/>
      <c r="L27" s="91"/>
      <c r="O27" s="88" t="s">
        <v>47</v>
      </c>
      <c r="P27" s="103" t="s">
        <v>48</v>
      </c>
      <c r="S27" s="77"/>
      <c r="T27" s="77"/>
    </row>
    <row r="28" spans="1:20" ht="13.15" customHeight="1" thickBot="1" x14ac:dyDescent="0.25">
      <c r="L28" s="91"/>
      <c r="O28" s="92" t="s">
        <v>49</v>
      </c>
      <c r="P28" s="104" t="s">
        <v>50</v>
      </c>
      <c r="S28" s="77"/>
      <c r="T28" s="77"/>
    </row>
    <row r="29" spans="1:20" ht="13.15" customHeight="1" x14ac:dyDescent="0.2">
      <c r="L29" s="91"/>
      <c r="Q29" s="77"/>
      <c r="R29" s="77"/>
      <c r="S29" s="77"/>
      <c r="T29" s="77"/>
    </row>
    <row r="30" spans="1:20" ht="13.15" customHeight="1" thickBot="1" x14ac:dyDescent="0.25">
      <c r="L30" s="91"/>
      <c r="O30" s="86" t="s">
        <v>51</v>
      </c>
      <c r="P30" s="77"/>
      <c r="Q30" s="77"/>
      <c r="R30" s="77"/>
      <c r="S30" s="77"/>
      <c r="T30" s="77"/>
    </row>
    <row r="31" spans="1:20" s="105" customFormat="1" ht="20.25" customHeight="1" x14ac:dyDescent="0.2">
      <c r="A31" s="281" t="s">
        <v>52</v>
      </c>
      <c r="B31" s="282"/>
      <c r="C31" s="279" t="s">
        <v>53</v>
      </c>
      <c r="D31" s="279" t="s">
        <v>54</v>
      </c>
      <c r="E31" s="292" t="s">
        <v>55</v>
      </c>
      <c r="F31" s="281" t="s">
        <v>56</v>
      </c>
      <c r="G31" s="282"/>
      <c r="H31" s="282"/>
      <c r="I31" s="283"/>
      <c r="J31" s="275" t="str">
        <f>"TOTALE"&amp;"  ["&amp;G43&amp;"]"</f>
        <v>TOTALE  [€]</v>
      </c>
      <c r="K31" s="276"/>
      <c r="L31" s="184"/>
      <c r="O31" s="106" t="s">
        <v>57</v>
      </c>
      <c r="P31" s="106"/>
      <c r="Q31" s="106"/>
      <c r="R31" s="106" t="s">
        <v>58</v>
      </c>
      <c r="T31" s="107"/>
    </row>
    <row r="32" spans="1:20" s="105" customFormat="1" ht="20.25" customHeight="1" x14ac:dyDescent="0.2">
      <c r="A32" s="108" t="s">
        <v>59</v>
      </c>
      <c r="B32" s="109" t="s">
        <v>60</v>
      </c>
      <c r="C32" s="280"/>
      <c r="D32" s="280"/>
      <c r="E32" s="293"/>
      <c r="F32" s="108" t="str">
        <f>"da listino"&amp;" ["&amp;G43&amp;"]"</f>
        <v>da listino [€]</v>
      </c>
      <c r="G32" s="308" t="s">
        <v>61</v>
      </c>
      <c r="H32" s="309"/>
      <c r="I32" s="110" t="str">
        <f>"scontato"&amp;" ["&amp;G43&amp;"]"</f>
        <v>scontato [€]</v>
      </c>
      <c r="J32" s="277"/>
      <c r="K32" s="278"/>
      <c r="L32" s="184"/>
      <c r="O32" s="105" t="str">
        <f>CONCATENATE($D$9,$D$11,D20)</f>
        <v>R1,Rk</v>
      </c>
      <c r="R32" s="105" t="str">
        <f>CONCATENATE($D$17,$D$13)</f>
        <v/>
      </c>
      <c r="T32" s="107"/>
    </row>
    <row r="33" spans="1:22" s="105" customFormat="1" ht="20.25" customHeight="1" x14ac:dyDescent="0.2">
      <c r="A33" s="111" t="str">
        <f>IF(D9="","",D9)</f>
        <v/>
      </c>
      <c r="B33" s="112" t="str">
        <f>IF(D9="","",D9)</f>
        <v/>
      </c>
      <c r="C33" s="111" t="str">
        <f>IF(D26="","",D26)</f>
        <v/>
      </c>
      <c r="D33" s="113" t="str">
        <f>IF(D26="","",VLOOKUP($B$33,$D$43:$H$58,5,FALSE))</f>
        <v/>
      </c>
      <c r="E33" s="114" t="str">
        <f>IF(D26="","",ROUNDUP(C33/D33,0))</f>
        <v/>
      </c>
      <c r="F33" s="115" t="str">
        <f>IF(D26="","",VLOOKUP($B$33,$D$43:$H$58,3,FALSE))</f>
        <v/>
      </c>
      <c r="G33" s="266"/>
      <c r="H33" s="268"/>
      <c r="I33" s="116" t="str">
        <f>IF($F33="","",($F33*(100-$G33)/100))</f>
        <v/>
      </c>
      <c r="J33" s="271" t="str">
        <f>IF(D26="","",I33*(E33*D33))</f>
        <v/>
      </c>
      <c r="K33" s="272"/>
      <c r="L33" s="184"/>
      <c r="O33" s="105" t="str">
        <f>CONCATENATE($D$9,$D$11,D21)</f>
        <v>R2,Rk</v>
      </c>
      <c r="T33" s="107"/>
    </row>
    <row r="34" spans="1:22" s="105" customFormat="1" ht="20.25" customHeight="1" x14ac:dyDescent="0.2">
      <c r="A34" s="111" t="str">
        <f>LEFT(D11,10)</f>
        <v/>
      </c>
      <c r="B34" s="112" t="str">
        <f>RIGHT(D11,8)</f>
        <v/>
      </c>
      <c r="C34" s="111" t="str">
        <f>IF(D26="","",IF(D17="TOTALE",(INDEX($O$42:$U$49,$Q$6,3))*$D$26,(INDEX($O$42:$U$49,$Q$6,5))*$D$26))</f>
        <v/>
      </c>
      <c r="D34" s="113" t="str">
        <f>IF(D26="","",VLOOKUP($B$34,$D$43:$H$58,5,FALSE))</f>
        <v/>
      </c>
      <c r="E34" s="114" t="str">
        <f>IF(D26="","",ROUNDUP(C34/D34,0))</f>
        <v/>
      </c>
      <c r="F34" s="111" t="str">
        <f>IF(D26="","",VLOOKUP($B$34,$D$43:$H$58,3,FALSE))</f>
        <v/>
      </c>
      <c r="G34" s="266"/>
      <c r="H34" s="268"/>
      <c r="I34" s="117" t="str">
        <f>IF($F34="","",($F34*(100-$G34)/100))</f>
        <v/>
      </c>
      <c r="J34" s="271" t="str">
        <f>IF(D26="","",I34*(E34*D34))</f>
        <v/>
      </c>
      <c r="K34" s="272"/>
      <c r="L34" s="184"/>
      <c r="O34" s="105" t="str">
        <f>CONCATENATE($D$9,$D$11,D22)</f>
        <v>R3,Rk</v>
      </c>
      <c r="T34" s="107"/>
    </row>
    <row r="35" spans="1:22" s="105" customFormat="1" ht="20.25" customHeight="1" x14ac:dyDescent="0.2">
      <c r="A35" s="111" t="str">
        <f>LEFT(D13,11)</f>
        <v/>
      </c>
      <c r="B35" s="112" t="str">
        <f>RIGHT(D13,7)</f>
        <v/>
      </c>
      <c r="C35" s="111" t="str">
        <f>IF(D26="","",IF(D17="TOTALE",(INDEX($O$42:$U$49,$Q$6,4))*$D$26,(INDEX($O$42:$U$49,$Q$6,6))*$D$26))</f>
        <v/>
      </c>
      <c r="D35" s="113" t="str">
        <f>IF(D26="","",VLOOKUP($B$35,$D$43:$H$58,5,FALSE))</f>
        <v/>
      </c>
      <c r="E35" s="114" t="str">
        <f>IF(D26="","",ROUNDUP(C35/D35,0))</f>
        <v/>
      </c>
      <c r="F35" s="118" t="str">
        <f>IF(D26="","",VLOOKUP($B$35,$D$43:$H$58,3,FALSE))</f>
        <v/>
      </c>
      <c r="G35" s="266"/>
      <c r="H35" s="268"/>
      <c r="I35" s="117" t="str">
        <f>IF($F35="","",($F35*(100-$G35)/100))</f>
        <v/>
      </c>
      <c r="J35" s="271" t="str">
        <f>IF(D26="","",I35*(E35*D35))</f>
        <v/>
      </c>
      <c r="K35" s="272"/>
      <c r="L35" s="184"/>
      <c r="O35" s="105" t="str">
        <f>CONCATENATE($D$9,$D$11,D23)</f>
        <v>R4,Rk</v>
      </c>
      <c r="T35" s="107"/>
    </row>
    <row r="36" spans="1:22" s="105" customFormat="1" ht="20.25" customHeight="1" thickBot="1" x14ac:dyDescent="0.25">
      <c r="A36" s="119" t="str">
        <f>IF(D15="","",IF(D15="-","-",D15))</f>
        <v/>
      </c>
      <c r="B36" s="120" t="str">
        <f>IF(D15="","",IF(D15="-","-",D15))</f>
        <v/>
      </c>
      <c r="C36" s="121" t="str">
        <f>IF(D26="","",IF(B36="-","-",(INDEX($O$42:$U$49,$Q$6,7))*$D$26))</f>
        <v/>
      </c>
      <c r="D36" s="122" t="str">
        <f>IF(D26="","",IF(B36="-","-",VLOOKUP($B$36,$D$43:$H$58,5,FALSE)))</f>
        <v/>
      </c>
      <c r="E36" s="123" t="str">
        <f>IF(D26="","",IF(B36="-","-",ROUNDUP(C36/D36,0)))</f>
        <v/>
      </c>
      <c r="F36" s="124" t="str">
        <f>IF(D26="","",IF(B36="-","-",(VLOOKUP($B$36,$D$43:$H$58,3,FALSE))))</f>
        <v/>
      </c>
      <c r="G36" s="273"/>
      <c r="H36" s="274"/>
      <c r="I36" s="125" t="str">
        <f>IF(F36="","",IF($F36="-","-",($F36*(100-$G36)/100)))</f>
        <v/>
      </c>
      <c r="J36" s="269" t="str">
        <f>IF(D26="","",IF(B36="-","-",I36*(E36*D36)))</f>
        <v/>
      </c>
      <c r="K36" s="270"/>
      <c r="L36" s="184"/>
      <c r="T36" s="107"/>
    </row>
    <row r="37" spans="1:22" ht="20.25" customHeight="1" thickBot="1" x14ac:dyDescent="0.35">
      <c r="J37" s="306">
        <f>SUM(J33:K36)</f>
        <v>0</v>
      </c>
      <c r="K37" s="307"/>
      <c r="L37" s="185" t="str">
        <f>G43</f>
        <v>€</v>
      </c>
    </row>
    <row r="38" spans="1:22" ht="13.5" thickBot="1" x14ac:dyDescent="0.25">
      <c r="L38" s="91"/>
    </row>
    <row r="39" spans="1:22" ht="32.65" customHeight="1" x14ac:dyDescent="0.2">
      <c r="A39" s="285" t="s">
        <v>62</v>
      </c>
      <c r="B39" s="285"/>
      <c r="C39" s="285"/>
      <c r="D39" s="285"/>
      <c r="E39" s="285"/>
      <c r="F39" s="285"/>
      <c r="G39" s="285"/>
      <c r="H39" s="285"/>
      <c r="I39" s="285"/>
      <c r="J39" s="285"/>
      <c r="K39" s="285"/>
      <c r="L39" s="286"/>
      <c r="O39" s="234" t="s">
        <v>63</v>
      </c>
      <c r="P39" s="236" t="s">
        <v>64</v>
      </c>
      <c r="Q39" s="248" t="s">
        <v>65</v>
      </c>
      <c r="R39" s="249"/>
      <c r="S39" s="248" t="s">
        <v>66</v>
      </c>
      <c r="T39" s="250"/>
    </row>
    <row r="40" spans="1:22" ht="15" customHeight="1" x14ac:dyDescent="0.2">
      <c r="A40" s="312" t="s">
        <v>67</v>
      </c>
      <c r="B40" s="313"/>
      <c r="C40" s="313"/>
      <c r="D40" s="313"/>
      <c r="E40" s="313"/>
      <c r="F40" s="313"/>
      <c r="G40" s="313"/>
      <c r="H40" s="313"/>
      <c r="I40" s="313"/>
      <c r="J40" s="313"/>
      <c r="K40" s="313"/>
      <c r="L40" s="314"/>
      <c r="O40" s="235"/>
      <c r="P40" s="237"/>
      <c r="Q40" s="126" t="s">
        <v>68</v>
      </c>
      <c r="R40" s="127" t="s">
        <v>69</v>
      </c>
      <c r="S40" s="126" t="s">
        <v>68</v>
      </c>
      <c r="T40" s="128" t="s">
        <v>69</v>
      </c>
    </row>
    <row r="41" spans="1:22" ht="18.75" customHeight="1" thickBot="1" x14ac:dyDescent="0.25">
      <c r="L41" s="91"/>
      <c r="O41" s="235"/>
      <c r="P41" s="237"/>
      <c r="Q41" s="129" t="s">
        <v>70</v>
      </c>
      <c r="R41" s="130" t="s">
        <v>71</v>
      </c>
      <c r="S41" s="129" t="s">
        <v>70</v>
      </c>
      <c r="T41" s="131" t="s">
        <v>71</v>
      </c>
    </row>
    <row r="42" spans="1:22" ht="44.45" customHeight="1" x14ac:dyDescent="0.2">
      <c r="D42" s="310" t="s">
        <v>72</v>
      </c>
      <c r="E42" s="311"/>
      <c r="F42" s="192" t="s">
        <v>73</v>
      </c>
      <c r="G42" s="192" t="s">
        <v>74</v>
      </c>
      <c r="H42" s="193" t="s">
        <v>54</v>
      </c>
      <c r="L42" s="91"/>
      <c r="O42" s="132" t="s">
        <v>11</v>
      </c>
      <c r="P42" s="133" t="s">
        <v>75</v>
      </c>
      <c r="Q42" s="134">
        <f>6+2</f>
        <v>8</v>
      </c>
      <c r="R42" s="135">
        <v>7</v>
      </c>
      <c r="S42" s="134">
        <f>4+2</f>
        <v>6</v>
      </c>
      <c r="T42" s="136">
        <v>5</v>
      </c>
    </row>
    <row r="43" spans="1:22" ht="15" x14ac:dyDescent="0.2">
      <c r="D43" s="290" t="s">
        <v>11</v>
      </c>
      <c r="E43" s="291"/>
      <c r="F43" s="194">
        <v>32.700000000000003</v>
      </c>
      <c r="G43" s="195" t="s">
        <v>76</v>
      </c>
      <c r="H43" s="196">
        <v>1</v>
      </c>
      <c r="L43" s="91"/>
      <c r="O43" s="137" t="s">
        <v>17</v>
      </c>
      <c r="P43" s="138" t="s">
        <v>75</v>
      </c>
      <c r="Q43" s="139">
        <f>9+2</f>
        <v>11</v>
      </c>
      <c r="R43" s="140">
        <v>5</v>
      </c>
      <c r="S43" s="139">
        <f>5+2</f>
        <v>7</v>
      </c>
      <c r="T43" s="140">
        <v>5</v>
      </c>
    </row>
    <row r="44" spans="1:22" ht="15" x14ac:dyDescent="0.2">
      <c r="D44" s="290" t="s">
        <v>17</v>
      </c>
      <c r="E44" s="291"/>
      <c r="F44" s="194">
        <v>42.2</v>
      </c>
      <c r="G44" s="197" t="str">
        <f t="shared" ref="G44:G58" si="0">$G$43</f>
        <v>€</v>
      </c>
      <c r="H44" s="196">
        <v>1</v>
      </c>
      <c r="L44" s="91"/>
      <c r="O44" s="137" t="s">
        <v>19</v>
      </c>
      <c r="P44" s="138" t="s">
        <v>75</v>
      </c>
      <c r="Q44" s="139">
        <f>15+2</f>
        <v>17</v>
      </c>
      <c r="R44" s="140">
        <v>7</v>
      </c>
      <c r="S44" s="139">
        <f>8+2</f>
        <v>10</v>
      </c>
      <c r="T44" s="140">
        <v>5</v>
      </c>
    </row>
    <row r="45" spans="1:22" ht="15" x14ac:dyDescent="0.2">
      <c r="D45" s="290" t="s">
        <v>19</v>
      </c>
      <c r="E45" s="291"/>
      <c r="F45" s="194">
        <v>52.6</v>
      </c>
      <c r="G45" s="197" t="str">
        <f t="shared" si="0"/>
        <v>€</v>
      </c>
      <c r="H45" s="196">
        <v>1</v>
      </c>
      <c r="L45" s="91"/>
      <c r="O45" s="137" t="s">
        <v>21</v>
      </c>
      <c r="P45" s="138" t="s">
        <v>75</v>
      </c>
      <c r="Q45" s="139">
        <f>21+4</f>
        <v>25</v>
      </c>
      <c r="R45" s="140">
        <v>7</v>
      </c>
      <c r="S45" s="139">
        <f>11+4</f>
        <v>15</v>
      </c>
      <c r="T45" s="140">
        <v>5</v>
      </c>
    </row>
    <row r="46" spans="1:22" ht="15.95" customHeight="1" thickBot="1" x14ac:dyDescent="0.25">
      <c r="D46" s="290" t="s">
        <v>21</v>
      </c>
      <c r="E46" s="291"/>
      <c r="F46" s="194">
        <v>86.9</v>
      </c>
      <c r="G46" s="197" t="str">
        <f t="shared" si="0"/>
        <v>€</v>
      </c>
      <c r="H46" s="196">
        <v>1</v>
      </c>
      <c r="L46" s="91"/>
      <c r="O46" s="141" t="s">
        <v>22</v>
      </c>
      <c r="P46" s="142" t="s">
        <v>75</v>
      </c>
      <c r="Q46" s="143">
        <f>30+4</f>
        <v>34</v>
      </c>
      <c r="R46" s="144">
        <v>9</v>
      </c>
      <c r="S46" s="143">
        <f>16+4</f>
        <v>20</v>
      </c>
      <c r="T46" s="144">
        <v>5</v>
      </c>
    </row>
    <row r="47" spans="1:22" ht="15" x14ac:dyDescent="0.2">
      <c r="D47" s="290" t="s">
        <v>22</v>
      </c>
      <c r="E47" s="291"/>
      <c r="F47" s="194">
        <v>109</v>
      </c>
      <c r="G47" s="197" t="str">
        <f t="shared" si="0"/>
        <v>€</v>
      </c>
      <c r="H47" s="196">
        <v>1</v>
      </c>
      <c r="L47" s="91"/>
      <c r="O47" s="132" t="s">
        <v>24</v>
      </c>
      <c r="P47" s="145" t="s">
        <v>77</v>
      </c>
      <c r="Q47" s="146">
        <v>2</v>
      </c>
      <c r="R47" s="147">
        <v>6</v>
      </c>
      <c r="S47" s="148" t="s">
        <v>78</v>
      </c>
      <c r="T47" s="148" t="s">
        <v>78</v>
      </c>
      <c r="U47" s="149">
        <v>2</v>
      </c>
    </row>
    <row r="48" spans="1:22" ht="15" x14ac:dyDescent="0.2">
      <c r="D48" s="290" t="s">
        <v>24</v>
      </c>
      <c r="E48" s="291"/>
      <c r="F48" s="194">
        <v>81.099999999999994</v>
      </c>
      <c r="G48" s="197" t="str">
        <f t="shared" si="0"/>
        <v>€</v>
      </c>
      <c r="H48" s="196">
        <v>1</v>
      </c>
      <c r="L48" s="91"/>
      <c r="O48" s="137" t="s">
        <v>25</v>
      </c>
      <c r="P48" s="150" t="s">
        <v>77</v>
      </c>
      <c r="Q48" s="151">
        <v>4</v>
      </c>
      <c r="R48" s="140">
        <v>6</v>
      </c>
      <c r="S48" s="148" t="s">
        <v>78</v>
      </c>
      <c r="T48" s="148" t="s">
        <v>78</v>
      </c>
      <c r="U48" s="152">
        <v>2</v>
      </c>
      <c r="V48" s="251" t="s">
        <v>79</v>
      </c>
    </row>
    <row r="49" spans="1:22" ht="15.75" thickBot="1" x14ac:dyDescent="0.25">
      <c r="D49" s="290" t="s">
        <v>25</v>
      </c>
      <c r="E49" s="291"/>
      <c r="F49" s="194">
        <v>117</v>
      </c>
      <c r="G49" s="197" t="str">
        <f t="shared" si="0"/>
        <v>€</v>
      </c>
      <c r="H49" s="196">
        <v>1</v>
      </c>
      <c r="L49" s="91"/>
      <c r="O49" s="141" t="s">
        <v>27</v>
      </c>
      <c r="P49" s="153" t="s">
        <v>77</v>
      </c>
      <c r="Q49" s="154">
        <v>4</v>
      </c>
      <c r="R49" s="144">
        <v>8</v>
      </c>
      <c r="S49" s="148" t="s">
        <v>78</v>
      </c>
      <c r="T49" s="148" t="s">
        <v>78</v>
      </c>
      <c r="U49" s="155">
        <v>3</v>
      </c>
      <c r="V49" s="251"/>
    </row>
    <row r="50" spans="1:22" x14ac:dyDescent="0.2">
      <c r="D50" s="290" t="s">
        <v>27</v>
      </c>
      <c r="E50" s="291"/>
      <c r="F50" s="194">
        <v>154</v>
      </c>
      <c r="G50" s="197" t="str">
        <f t="shared" si="0"/>
        <v>€</v>
      </c>
      <c r="H50" s="196">
        <v>1</v>
      </c>
      <c r="L50" s="91"/>
      <c r="V50" s="251"/>
    </row>
    <row r="51" spans="1:22" x14ac:dyDescent="0.2">
      <c r="D51" s="290" t="s">
        <v>80</v>
      </c>
      <c r="E51" s="291"/>
      <c r="F51" s="198">
        <v>0.27100000000000002</v>
      </c>
      <c r="G51" s="197" t="str">
        <f t="shared" si="0"/>
        <v>€</v>
      </c>
      <c r="H51" s="196">
        <v>200</v>
      </c>
      <c r="L51" s="91"/>
    </row>
    <row r="52" spans="1:22" x14ac:dyDescent="0.2">
      <c r="D52" s="290" t="s">
        <v>81</v>
      </c>
      <c r="E52" s="291"/>
      <c r="F52" s="198">
        <v>0.29499999999999998</v>
      </c>
      <c r="G52" s="197" t="str">
        <f t="shared" si="0"/>
        <v>€</v>
      </c>
      <c r="H52" s="196">
        <v>200</v>
      </c>
      <c r="L52" s="91"/>
    </row>
    <row r="53" spans="1:22" x14ac:dyDescent="0.2">
      <c r="D53" s="290" t="s">
        <v>82</v>
      </c>
      <c r="E53" s="291"/>
      <c r="F53" s="198">
        <v>0.32800000000000001</v>
      </c>
      <c r="G53" s="197" t="str">
        <f t="shared" si="0"/>
        <v>€</v>
      </c>
      <c r="H53" s="196">
        <v>200</v>
      </c>
      <c r="L53" s="91"/>
    </row>
    <row r="54" spans="1:22" x14ac:dyDescent="0.2">
      <c r="D54" s="290" t="s">
        <v>83</v>
      </c>
      <c r="E54" s="291"/>
      <c r="F54" s="198">
        <v>6.8000000000000005E-2</v>
      </c>
      <c r="G54" s="197" t="str">
        <f t="shared" si="0"/>
        <v>€</v>
      </c>
      <c r="H54" s="196">
        <v>200</v>
      </c>
      <c r="L54" s="305" t="s">
        <v>84</v>
      </c>
    </row>
    <row r="55" spans="1:22" x14ac:dyDescent="0.2">
      <c r="D55" s="290" t="s">
        <v>85</v>
      </c>
      <c r="E55" s="291"/>
      <c r="F55" s="198">
        <v>8.5000000000000006E-2</v>
      </c>
      <c r="G55" s="197" t="str">
        <f t="shared" si="0"/>
        <v>€</v>
      </c>
      <c r="H55" s="196">
        <v>200</v>
      </c>
      <c r="L55" s="305"/>
      <c r="O55" s="97" t="s">
        <v>86</v>
      </c>
    </row>
    <row r="56" spans="1:22" x14ac:dyDescent="0.2">
      <c r="D56" s="290" t="s">
        <v>87</v>
      </c>
      <c r="E56" s="291"/>
      <c r="F56" s="198">
        <v>0.40799999999999997</v>
      </c>
      <c r="G56" s="197" t="str">
        <f t="shared" si="0"/>
        <v>€</v>
      </c>
      <c r="H56" s="196">
        <v>100</v>
      </c>
      <c r="L56" s="305"/>
      <c r="O56" t="s">
        <v>76</v>
      </c>
      <c r="P56" t="s">
        <v>88</v>
      </c>
    </row>
    <row r="57" spans="1:22" x14ac:dyDescent="0.2">
      <c r="D57" s="290" t="s">
        <v>89</v>
      </c>
      <c r="E57" s="291"/>
      <c r="F57" s="198">
        <v>0.77200000000000002</v>
      </c>
      <c r="G57" s="197" t="str">
        <f t="shared" si="0"/>
        <v>€</v>
      </c>
      <c r="H57" s="196">
        <v>100</v>
      </c>
      <c r="L57" s="305"/>
      <c r="O57" t="s">
        <v>90</v>
      </c>
      <c r="P57" t="s">
        <v>91</v>
      </c>
    </row>
    <row r="58" spans="1:22" ht="13.5" thickBot="1" x14ac:dyDescent="0.25">
      <c r="D58" s="315" t="s">
        <v>34</v>
      </c>
      <c r="E58" s="316"/>
      <c r="F58" s="199">
        <v>2.54</v>
      </c>
      <c r="G58" s="200" t="str">
        <f t="shared" si="0"/>
        <v>€</v>
      </c>
      <c r="H58" s="201">
        <v>50</v>
      </c>
      <c r="L58" s="305"/>
      <c r="O58" t="s">
        <v>92</v>
      </c>
      <c r="P58" t="s">
        <v>93</v>
      </c>
    </row>
    <row r="59" spans="1:22" x14ac:dyDescent="0.2">
      <c r="A59" s="156"/>
      <c r="B59" s="157"/>
      <c r="C59" s="157"/>
      <c r="D59" s="158"/>
      <c r="E59" s="158"/>
      <c r="F59" s="158"/>
      <c r="G59" s="158"/>
      <c r="H59" s="158"/>
      <c r="I59" s="157"/>
      <c r="J59" s="157"/>
      <c r="K59" s="157"/>
      <c r="L59" s="159"/>
    </row>
  </sheetData>
  <customSheetViews>
    <customSheetView guid="{0CD160FA-77E1-425A-9118-5D753714CF1F}" scale="60" showPageBreaks="1" showGridLines="0" printArea="1" hiddenColumns="1" view="pageBreakPreview">
      <selection activeCell="AC29" sqref="AC29"/>
      <rowBreaks count="1" manualBreakCount="1">
        <brk id="35" max="11" man="1"/>
      </rowBreaks>
      <pageMargins left="0" right="0" top="0" bottom="0" header="0" footer="0"/>
      <printOptions horizontalCentered="1"/>
      <pageSetup paperSize="9" scale="93" fitToWidth="0" orientation="landscape" r:id="rId1"/>
    </customSheetView>
  </customSheetViews>
  <mergeCells count="54">
    <mergeCell ref="A26:B27"/>
    <mergeCell ref="T8:T15"/>
    <mergeCell ref="A3:L5"/>
    <mergeCell ref="L54:L58"/>
    <mergeCell ref="A21:B22"/>
    <mergeCell ref="J37:K37"/>
    <mergeCell ref="C31:C32"/>
    <mergeCell ref="G32:H32"/>
    <mergeCell ref="D42:E42"/>
    <mergeCell ref="A40:L40"/>
    <mergeCell ref="A39:L39"/>
    <mergeCell ref="D57:E57"/>
    <mergeCell ref="D58:E58"/>
    <mergeCell ref="D52:E52"/>
    <mergeCell ref="D53:E53"/>
    <mergeCell ref="D54:E54"/>
    <mergeCell ref="D55:E55"/>
    <mergeCell ref="D56:E56"/>
    <mergeCell ref="D47:E47"/>
    <mergeCell ref="D48:E48"/>
    <mergeCell ref="D49:E49"/>
    <mergeCell ref="D50:E50"/>
    <mergeCell ref="D51:E51"/>
    <mergeCell ref="D43:E43"/>
    <mergeCell ref="D44:E44"/>
    <mergeCell ref="D45:E45"/>
    <mergeCell ref="D46:E46"/>
    <mergeCell ref="A31:B31"/>
    <mergeCell ref="E31:E32"/>
    <mergeCell ref="A1:L1"/>
    <mergeCell ref="D7:F7"/>
    <mergeCell ref="D9:F9"/>
    <mergeCell ref="D11:F11"/>
    <mergeCell ref="P24:P25"/>
    <mergeCell ref="D13:F13"/>
    <mergeCell ref="D15:F15"/>
    <mergeCell ref="D26:F26"/>
    <mergeCell ref="D17:F17"/>
    <mergeCell ref="J36:K36"/>
    <mergeCell ref="J34:K34"/>
    <mergeCell ref="J35:K35"/>
    <mergeCell ref="G33:H33"/>
    <mergeCell ref="G34:H34"/>
    <mergeCell ref="G36:H36"/>
    <mergeCell ref="J31:K32"/>
    <mergeCell ref="D31:D32"/>
    <mergeCell ref="J33:K33"/>
    <mergeCell ref="G35:H35"/>
    <mergeCell ref="F31:I31"/>
    <mergeCell ref="S39:T39"/>
    <mergeCell ref="V48:V50"/>
    <mergeCell ref="Q39:R39"/>
    <mergeCell ref="O39:O41"/>
    <mergeCell ref="P39:P41"/>
  </mergeCells>
  <conditionalFormatting sqref="D9:F9">
    <cfRule type="expression" dxfId="49" priority="8">
      <formula>AND($D$7=$O$9,$D$9=$Q$12)</formula>
    </cfRule>
    <cfRule type="expression" dxfId="48" priority="9">
      <formula>AND($D$7=$O$9,$D$9=$Q$11)</formula>
    </cfRule>
    <cfRule type="expression" dxfId="47" priority="10">
      <formula>AND($D$7=$O$9,$D$9=$Q$10)</formula>
    </cfRule>
    <cfRule type="expression" dxfId="46" priority="11">
      <formula>AND($D$7=$O$9,$D$9=$Q$9)</formula>
    </cfRule>
    <cfRule type="expression" dxfId="45" priority="12">
      <formula>AND($D$7=$O$9,$D$9=$Q$8)</formula>
    </cfRule>
    <cfRule type="expression" dxfId="44" priority="13">
      <formula>AND($D$7=$O$8,$D$9=$Q$15)</formula>
    </cfRule>
    <cfRule type="expression" dxfId="43" priority="14">
      <formula>AND($D$7=$O$8,$D$9=$Q$14)</formula>
    </cfRule>
    <cfRule type="expression" dxfId="42" priority="15">
      <formula>AND($D$7=$O$8,$D$9=$Q$13)</formula>
    </cfRule>
  </conditionalFormatting>
  <conditionalFormatting sqref="D13:F13">
    <cfRule type="expression" dxfId="41" priority="2">
      <formula>AND($D$9=$Q$15,$D$13=$Q$20)</formula>
    </cfRule>
    <cfRule type="expression" dxfId="40" priority="3">
      <formula>AND($D$9=$Q$15,$D$13=$Q$19)</formula>
    </cfRule>
    <cfRule type="expression" dxfId="39" priority="4">
      <formula>AND($D$9=$Q$14,$D$13=$Q$20)</formula>
    </cfRule>
    <cfRule type="expression" dxfId="38" priority="5">
      <formula>AND($D$9=$Q$14,$D$13=$Q$19)</formula>
    </cfRule>
    <cfRule type="expression" dxfId="37" priority="6">
      <formula>AND($D$9=$Q$13,$D$13=$Q$20)</formula>
    </cfRule>
    <cfRule type="expression" dxfId="36" priority="7">
      <formula>AND($D$9=$Q$13,$D$13=$Q$19)</formula>
    </cfRule>
    <cfRule type="expression" dxfId="35" priority="16">
      <formula>AND($D$9=$Q$12,$D$13=$Q$20)</formula>
    </cfRule>
    <cfRule type="expression" dxfId="34" priority="17">
      <formula>AND($D$9=$Q$12,$D$13=$Q$19)</formula>
    </cfRule>
    <cfRule type="expression" dxfId="33" priority="18">
      <formula>AND($D$9=$Q$11,$D$13=$Q$20)</formula>
    </cfRule>
    <cfRule type="expression" dxfId="32" priority="19">
      <formula>AND($D$9=$Q$11,$D$13=$Q$19)</formula>
    </cfRule>
    <cfRule type="expression" dxfId="31" priority="20">
      <formula>AND($D$9=$Q$10,$D$13=$Q$20)</formula>
    </cfRule>
    <cfRule type="expression" dxfId="30" priority="21">
      <formula>AND($D$9=$Q$10,$D$13=$Q$19)</formula>
    </cfRule>
    <cfRule type="expression" dxfId="29" priority="22">
      <formula>AND($D$9=$Q$9,$D$13=$Q$20)</formula>
    </cfRule>
    <cfRule type="expression" dxfId="28" priority="23">
      <formula>AND($D$9=$Q$9,$D$13=$Q$19)</formula>
    </cfRule>
    <cfRule type="expression" dxfId="27" priority="24">
      <formula>AND($D$9=$Q$8,$D$13=$Q$22)</formula>
    </cfRule>
    <cfRule type="expression" dxfId="26" priority="25">
      <formula>AND($D$9=$Q$8,$D$13=$Q$21)</formula>
    </cfRule>
  </conditionalFormatting>
  <conditionalFormatting sqref="D17:F17">
    <cfRule type="expression" dxfId="25" priority="1">
      <formula>AND($D$7=$O$9,$D$17=$O$27)</formula>
    </cfRule>
  </conditionalFormatting>
  <dataValidations count="6">
    <dataValidation type="list" allowBlank="1" showInputMessage="1" showErrorMessage="1" sqref="D7:F7" xr:uid="{00000000-0002-0000-0000-000000000000}">
      <formula1>Applicazione</formula1>
    </dataValidation>
    <dataValidation type="list" allowBlank="1" showInputMessage="1" showErrorMessage="1" sqref="D9:F9" xr:uid="{00000000-0002-0000-0000-000001000000}">
      <formula1>INDIRECT($P$6)</formula1>
    </dataValidation>
    <dataValidation type="list" allowBlank="1" showInputMessage="1" showErrorMessage="1" sqref="D13:F13" xr:uid="{00000000-0002-0000-0000-000002000000}">
      <formula1>INDIRECT($R$6)</formula1>
    </dataValidation>
    <dataValidation type="list" allowBlank="1" showInputMessage="1" showErrorMessage="1" sqref="G43" xr:uid="{00000000-0002-0000-0000-000003000000}">
      <formula1>$O$56:$O$58</formula1>
    </dataValidation>
    <dataValidation type="list" allowBlank="1" showInputMessage="1" showErrorMessage="1" sqref="D11:F11" xr:uid="{00000000-0002-0000-0000-000004000000}">
      <formula1>$O$19:$O$21</formula1>
    </dataValidation>
    <dataValidation type="list" errorStyle="warning" allowBlank="1" showInputMessage="1" sqref="D17:F17" xr:uid="{00000000-0002-0000-0000-000005000000}">
      <formula1>INDIRECT($P$26)</formula1>
    </dataValidation>
  </dataValidations>
  <printOptions horizontalCentered="1"/>
  <pageMargins left="0.70866141732283505" right="0.70866141732283505" top="0.74803149606299202" bottom="0.74803149606299202" header="0.31496062992126" footer="0.31496062992126"/>
  <pageSetup paperSize="9" scale="86" fitToWidth="0" orientation="landscape" r:id="rId2"/>
  <rowBreaks count="1" manualBreakCount="1">
    <brk id="37" max="11" man="1"/>
  </rowBreaks>
  <drawing r:id="rId3"/>
  <legacyDrawing r:id="rId4"/>
  <mc:AlternateContent xmlns:mc="http://schemas.openxmlformats.org/markup-compatibility/2006">
    <mc:Choice Requires="x14">
      <controls>
        <mc:AlternateContent xmlns:mc="http://schemas.openxmlformats.org/markup-compatibility/2006">
          <mc:Choice Requires="x14">
            <control shapeId="1049" r:id="rId5" name="Pulsante 25">
              <controlPr locked="0" defaultSize="0" print="0" autoLine="0" autoPict="0" macro="[0]!Foglio5.Reset" altText="Reset">
                <anchor moveWithCells="1" sizeWithCells="1">
                  <from>
                    <xdr:col>7</xdr:col>
                    <xdr:colOff>323850</xdr:colOff>
                    <xdr:row>5</xdr:row>
                    <xdr:rowOff>104775</xdr:rowOff>
                  </from>
                  <to>
                    <xdr:col>10</xdr:col>
                    <xdr:colOff>361950</xdr:colOff>
                    <xdr:row>7</xdr:row>
                    <xdr:rowOff>76200</xdr:rowOff>
                  </to>
                </anchor>
              </controlPr>
            </control>
          </mc:Choice>
        </mc:AlternateContent>
        <mc:AlternateContent xmlns:mc="http://schemas.openxmlformats.org/markup-compatibility/2006">
          <mc:Choice Requires="x14">
            <control shapeId="1065" r:id="rId6" name="Pulsante 41">
              <controlPr locked="0" defaultSize="0" print="0" autoLine="0" autoPict="0" macro="[0]!Scopri" altText="Reset">
                <anchor moveWithCells="1" sizeWithCells="1">
                  <from>
                    <xdr:col>8</xdr:col>
                    <xdr:colOff>581025</xdr:colOff>
                    <xdr:row>1</xdr:row>
                    <xdr:rowOff>76200</xdr:rowOff>
                  </from>
                  <to>
                    <xdr:col>9</xdr:col>
                    <xdr:colOff>600075</xdr:colOff>
                    <xdr:row>1</xdr:row>
                    <xdr:rowOff>381000</xdr:rowOff>
                  </to>
                </anchor>
              </controlPr>
            </control>
          </mc:Choice>
        </mc:AlternateContent>
        <mc:AlternateContent xmlns:mc="http://schemas.openxmlformats.org/markup-compatibility/2006">
          <mc:Choice Requires="x14">
            <control shapeId="1066" r:id="rId7" name="Pulsante 42">
              <controlPr locked="0" defaultSize="0" print="0" autoLine="0" autoPict="0" macro="[0]!Nascondi" altText="Reset">
                <anchor moveWithCells="1" sizeWithCells="1">
                  <from>
                    <xdr:col>10</xdr:col>
                    <xdr:colOff>76200</xdr:colOff>
                    <xdr:row>1</xdr:row>
                    <xdr:rowOff>66675</xdr:rowOff>
                  </from>
                  <to>
                    <xdr:col>11</xdr:col>
                    <xdr:colOff>438150</xdr:colOff>
                    <xdr:row>1</xdr:row>
                    <xdr:rowOff>381000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7F790-FDD5-4984-88A0-B4D68FE7C650}">
  <sheetPr codeName="Foglio6">
    <tabColor rgb="FF92D050"/>
  </sheetPr>
  <dimension ref="A1:AC103"/>
  <sheetViews>
    <sheetView zoomScale="70" zoomScaleNormal="70" workbookViewId="0">
      <selection activeCell="D25" sqref="D25"/>
    </sheetView>
  </sheetViews>
  <sheetFormatPr defaultColWidth="9" defaultRowHeight="15" x14ac:dyDescent="0.25"/>
  <cols>
    <col min="1" max="1" width="41" style="27" customWidth="1" collapsed="1"/>
    <col min="2" max="2" width="19" style="27" customWidth="1" collapsed="1"/>
    <col min="3" max="3" width="9" style="27" collapsed="1"/>
    <col min="4" max="4" width="17.7109375" style="27" bestFit="1" customWidth="1" collapsed="1"/>
    <col min="5" max="5" width="9" style="27" customWidth="1" collapsed="1"/>
    <col min="6" max="6" width="12" style="27" customWidth="1" collapsed="1"/>
    <col min="7" max="7" width="22.7109375" style="27" customWidth="1" collapsed="1"/>
    <col min="8" max="8" width="23.42578125" style="27" customWidth="1" collapsed="1"/>
    <col min="9" max="10" width="18.42578125" style="27" bestFit="1" customWidth="1" collapsed="1"/>
    <col min="11" max="14" width="18.42578125" style="27" customWidth="1" collapsed="1"/>
    <col min="15" max="18" width="18.42578125" style="27" bestFit="1" customWidth="1" collapsed="1"/>
    <col min="19" max="16384" width="9" style="27" collapsed="1"/>
  </cols>
  <sheetData>
    <row r="1" spans="1:29" x14ac:dyDescent="0.25">
      <c r="A1" s="26" t="s">
        <v>3</v>
      </c>
      <c r="G1" s="28" t="s">
        <v>94</v>
      </c>
      <c r="H1" s="29"/>
      <c r="I1" s="29"/>
      <c r="J1" s="30"/>
      <c r="K1" s="71"/>
      <c r="L1" s="71"/>
      <c r="M1" s="71"/>
      <c r="N1" s="71"/>
    </row>
    <row r="2" spans="1:29" ht="15.75" thickBot="1" x14ac:dyDescent="0.3">
      <c r="A2" s="31" t="e">
        <f>MATCH(UV_it!R32,'tabelle scheda tecnica '!A6:N6,0)</f>
        <v>#N/A</v>
      </c>
      <c r="G2" s="317" t="s">
        <v>49</v>
      </c>
      <c r="H2" s="318"/>
      <c r="I2" s="317" t="s">
        <v>47</v>
      </c>
      <c r="J2" s="318"/>
      <c r="K2" s="317" t="s">
        <v>49</v>
      </c>
      <c r="L2" s="318"/>
      <c r="M2" s="317" t="s">
        <v>47</v>
      </c>
      <c r="N2" s="318"/>
    </row>
    <row r="3" spans="1:29" ht="15" customHeight="1" x14ac:dyDescent="0.25">
      <c r="G3" s="8" t="s">
        <v>42</v>
      </c>
      <c r="H3" s="8" t="s">
        <v>44</v>
      </c>
      <c r="I3" s="8" t="s">
        <v>42</v>
      </c>
      <c r="J3" s="8" t="s">
        <v>44</v>
      </c>
      <c r="K3" s="89" t="s">
        <v>33</v>
      </c>
      <c r="L3" s="89" t="s">
        <v>38</v>
      </c>
      <c r="M3" s="89" t="s">
        <v>33</v>
      </c>
      <c r="N3" s="89" t="s">
        <v>38</v>
      </c>
    </row>
    <row r="4" spans="1:29" ht="15" customHeight="1" x14ac:dyDescent="0.25">
      <c r="G4" s="2"/>
      <c r="H4" s="2"/>
      <c r="I4" s="2"/>
      <c r="J4" s="2"/>
      <c r="K4" s="2"/>
      <c r="L4" s="2"/>
      <c r="M4" s="2"/>
      <c r="N4" s="2"/>
    </row>
    <row r="5" spans="1:29" ht="15" customHeight="1" x14ac:dyDescent="0.25">
      <c r="A5" s="32">
        <v>1</v>
      </c>
      <c r="B5" s="32">
        <v>2</v>
      </c>
      <c r="C5" s="32">
        <v>3</v>
      </c>
      <c r="D5" s="32">
        <v>4</v>
      </c>
      <c r="E5" s="32">
        <v>5</v>
      </c>
      <c r="F5" s="32">
        <v>6</v>
      </c>
      <c r="G5" s="23">
        <v>7</v>
      </c>
      <c r="H5" s="23">
        <v>8</v>
      </c>
      <c r="I5" s="23">
        <v>9</v>
      </c>
      <c r="J5" s="23">
        <v>10</v>
      </c>
      <c r="K5" s="23">
        <v>11</v>
      </c>
      <c r="L5" s="23">
        <v>12</v>
      </c>
      <c r="M5" s="23">
        <v>13</v>
      </c>
      <c r="N5" s="23">
        <v>14</v>
      </c>
    </row>
    <row r="6" spans="1:29" ht="30" x14ac:dyDescent="0.25">
      <c r="B6" s="33"/>
      <c r="G6" s="34" t="str">
        <f>CONCATENATE(G2,G3)</f>
        <v>TOTALEVGS 6,0x100 - VGS6100</v>
      </c>
      <c r="H6" s="34" t="str">
        <f>CONCATENATE(G2,H3)</f>
        <v>TOTALEVGS 6,0x160 - VGS6160</v>
      </c>
      <c r="I6" s="34" t="str">
        <f>CONCATENATE(I2,I3)</f>
        <v>PARZIALEVGS 6,0x100 - VGS6100</v>
      </c>
      <c r="J6" s="34" t="str">
        <f>CONCATENATE(I2,J3)</f>
        <v>PARZIALEVGS 6,0x160 - VGS6160</v>
      </c>
      <c r="K6" s="34" t="str">
        <f>CONCATENATE(K2,K3)</f>
        <v>TOTALEHBS 4,0x50 - HBS450</v>
      </c>
      <c r="L6" s="34" t="str">
        <f>CONCATENATE(K2,L3)</f>
        <v>TOTALEHBS 4,0x70 - HBS470</v>
      </c>
      <c r="M6" s="34" t="str">
        <f t="shared" ref="M6" si="0">CONCATENATE(M2,M3)</f>
        <v>PARZIALEHBS 4,0x50 - HBS450</v>
      </c>
      <c r="N6" s="34" t="str">
        <f>CONCATENATE(M2,N3)</f>
        <v>PARZIALEHBS 4,0x70 - HBS470</v>
      </c>
      <c r="S6" s="35"/>
      <c r="T6" s="35"/>
      <c r="U6" s="35"/>
      <c r="V6" s="35"/>
    </row>
    <row r="7" spans="1:29" ht="15" customHeight="1" thickBot="1" x14ac:dyDescent="0.3">
      <c r="S7" s="35"/>
      <c r="T7" s="35"/>
      <c r="U7" s="35"/>
      <c r="V7" s="35"/>
    </row>
    <row r="8" spans="1:29" ht="18.75" customHeight="1" thickBot="1" x14ac:dyDescent="0.3">
      <c r="A8" s="36" t="str">
        <f>CONCATENATE(B8,D8,E8)</f>
        <v>UVT60215LBS 5,0x50 - PF603550R1,Rk</v>
      </c>
      <c r="B8" s="37" t="s">
        <v>22</v>
      </c>
      <c r="C8" s="38" t="s">
        <v>95</v>
      </c>
      <c r="D8" s="22" t="s">
        <v>96</v>
      </c>
      <c r="E8" s="321" t="s">
        <v>35</v>
      </c>
      <c r="F8" s="322"/>
      <c r="G8" s="39">
        <v>2.8980000000000001</v>
      </c>
      <c r="H8" s="40">
        <v>2.8980000000000001</v>
      </c>
      <c r="I8" s="41">
        <v>2.8980000000000001</v>
      </c>
      <c r="J8" s="42">
        <v>2.8980000000000001</v>
      </c>
      <c r="K8" s="168" t="s">
        <v>78</v>
      </c>
      <c r="L8" s="169" t="s">
        <v>78</v>
      </c>
      <c r="M8" s="169" t="s">
        <v>78</v>
      </c>
      <c r="N8" s="170" t="s">
        <v>78</v>
      </c>
      <c r="P8" s="189" t="s">
        <v>97</v>
      </c>
      <c r="S8" s="35"/>
      <c r="T8" s="35"/>
      <c r="U8" s="35"/>
      <c r="V8" s="35"/>
    </row>
    <row r="9" spans="1:29" ht="19.5" thickBot="1" x14ac:dyDescent="0.3">
      <c r="A9" s="36" t="str">
        <f>CONCATENATE(B9,D9,E9)</f>
        <v>UVT60215LBS 5,0x50 - PF603550R2,Rk</v>
      </c>
      <c r="B9" s="37" t="s">
        <v>22</v>
      </c>
      <c r="C9" s="43" t="s">
        <v>95</v>
      </c>
      <c r="D9" s="8" t="s">
        <v>96</v>
      </c>
      <c r="E9" s="323" t="s">
        <v>40</v>
      </c>
      <c r="F9" s="324"/>
      <c r="G9" s="44">
        <v>37.335238046649707</v>
      </c>
      <c r="H9" s="45">
        <v>62.791082169365424</v>
      </c>
      <c r="I9" s="46">
        <v>18.667619023324853</v>
      </c>
      <c r="J9" s="47">
        <v>31.395541084682712</v>
      </c>
      <c r="K9" s="171" t="s">
        <v>78</v>
      </c>
      <c r="L9" s="167" t="s">
        <v>78</v>
      </c>
      <c r="M9" s="167" t="s">
        <v>78</v>
      </c>
      <c r="N9" s="172" t="s">
        <v>78</v>
      </c>
      <c r="P9" s="189" t="s">
        <v>98</v>
      </c>
      <c r="S9" s="35"/>
      <c r="T9" s="35"/>
      <c r="U9" s="35"/>
      <c r="V9" s="35"/>
    </row>
    <row r="10" spans="1:29" ht="19.5" thickBot="1" x14ac:dyDescent="0.3">
      <c r="A10" s="36" t="str">
        <f>CONCATENATE(B10,D10,E10)</f>
        <v>UVT60215LBS 5,0x50 - PF603550R3,Rk</v>
      </c>
      <c r="B10" s="37" t="s">
        <v>22</v>
      </c>
      <c r="C10" s="43" t="s">
        <v>95</v>
      </c>
      <c r="D10" s="8" t="s">
        <v>96</v>
      </c>
      <c r="E10" s="319" t="s">
        <v>43</v>
      </c>
      <c r="F10" s="320"/>
      <c r="G10" s="48">
        <v>4.6669047558312133</v>
      </c>
      <c r="H10" s="49">
        <v>7.848885271170678</v>
      </c>
      <c r="I10" s="50">
        <v>4.6669047558312133</v>
      </c>
      <c r="J10" s="51">
        <v>7.848885271170678</v>
      </c>
      <c r="K10" s="171" t="s">
        <v>78</v>
      </c>
      <c r="L10" s="167" t="s">
        <v>78</v>
      </c>
      <c r="M10" s="167" t="s">
        <v>78</v>
      </c>
      <c r="N10" s="172" t="s">
        <v>78</v>
      </c>
      <c r="P10" s="189" t="s">
        <v>99</v>
      </c>
    </row>
    <row r="11" spans="1:29" ht="27" thickBot="1" x14ac:dyDescent="0.3">
      <c r="A11" s="36" t="str">
        <f>CONCATENATE(B11,D11,E11)</f>
        <v>UVT60215LBS 5,0x50 - PF603550R4,Rk</v>
      </c>
      <c r="B11" s="37" t="s">
        <v>22</v>
      </c>
      <c r="C11" s="43" t="s">
        <v>95</v>
      </c>
      <c r="D11" s="8" t="s">
        <v>96</v>
      </c>
      <c r="E11" s="323" t="s">
        <v>45</v>
      </c>
      <c r="F11" s="324"/>
      <c r="G11" s="52">
        <v>3.3742800540521545</v>
      </c>
      <c r="H11" s="53">
        <v>3.3742800540521545</v>
      </c>
      <c r="I11" s="54">
        <v>2.778151723664454</v>
      </c>
      <c r="J11" s="55">
        <v>2.778151723664454</v>
      </c>
      <c r="K11" s="171" t="s">
        <v>78</v>
      </c>
      <c r="L11" s="167" t="s">
        <v>78</v>
      </c>
      <c r="M11" s="167" t="s">
        <v>78</v>
      </c>
      <c r="N11" s="172" t="s">
        <v>78</v>
      </c>
      <c r="Y11" s="11" t="s">
        <v>3</v>
      </c>
      <c r="Z11" s="14" t="s">
        <v>4</v>
      </c>
      <c r="AA11" s="19" t="s">
        <v>3</v>
      </c>
      <c r="AB11" s="21" t="s">
        <v>4</v>
      </c>
      <c r="AC11" s="1"/>
    </row>
    <row r="12" spans="1:29" ht="19.5" thickBot="1" x14ac:dyDescent="0.3">
      <c r="A12" s="36" t="str">
        <f t="shared" ref="A12:A67" si="1">CONCATENATE(B12,D12,E12)</f>
        <v>UVT60215LBS 5,0x60 - PF603560R1,Rk</v>
      </c>
      <c r="B12" s="37" t="s">
        <v>22</v>
      </c>
      <c r="C12" s="43" t="s">
        <v>95</v>
      </c>
      <c r="D12" s="8" t="s">
        <v>100</v>
      </c>
      <c r="E12" s="325" t="s">
        <v>35</v>
      </c>
      <c r="F12" s="326"/>
      <c r="G12" s="56">
        <v>3.528</v>
      </c>
      <c r="H12" s="57">
        <v>3.528</v>
      </c>
      <c r="I12" s="58">
        <v>3.528</v>
      </c>
      <c r="J12" s="59">
        <v>3.528</v>
      </c>
      <c r="K12" s="171" t="s">
        <v>78</v>
      </c>
      <c r="L12" s="167" t="s">
        <v>78</v>
      </c>
      <c r="M12" s="167" t="s">
        <v>78</v>
      </c>
      <c r="N12" s="172" t="s">
        <v>78</v>
      </c>
      <c r="Y12" s="12" t="e">
        <f>MATCH($F$6,$U$7:$U$8,0)</f>
        <v>#N/A</v>
      </c>
      <c r="Z12" s="15" t="e">
        <f>INDEX($U$7:$V$8,Y12,2)</f>
        <v>#N/A</v>
      </c>
      <c r="AA12" s="12" t="e">
        <f>MATCH($F$8,AA14:AA21,0)</f>
        <v>#N/A</v>
      </c>
      <c r="AB12" s="17" t="e">
        <f>INDEX($W$7:$X$14,AA12,2)</f>
        <v>#N/A</v>
      </c>
      <c r="AC12" s="1"/>
    </row>
    <row r="13" spans="1:29" ht="19.5" thickBot="1" x14ac:dyDescent="0.3">
      <c r="A13" s="36" t="str">
        <f t="shared" si="1"/>
        <v>UVT60215LBS 5,0x60 - PF603560R2,Rk</v>
      </c>
      <c r="B13" s="37" t="s">
        <v>22</v>
      </c>
      <c r="C13" s="43" t="s">
        <v>95</v>
      </c>
      <c r="D13" s="8" t="s">
        <v>100</v>
      </c>
      <c r="E13" s="323" t="s">
        <v>40</v>
      </c>
      <c r="F13" s="324"/>
      <c r="G13" s="44">
        <v>37.335238046649707</v>
      </c>
      <c r="H13" s="45">
        <v>62.791082169365424</v>
      </c>
      <c r="I13" s="46">
        <v>18.667619023324853</v>
      </c>
      <c r="J13" s="47">
        <v>31.395541084682712</v>
      </c>
      <c r="K13" s="171" t="s">
        <v>78</v>
      </c>
      <c r="L13" s="167" t="s">
        <v>78</v>
      </c>
      <c r="M13" s="167" t="s">
        <v>78</v>
      </c>
      <c r="N13" s="172" t="s">
        <v>78</v>
      </c>
      <c r="Y13" s="13" t="s">
        <v>5</v>
      </c>
      <c r="Z13" s="1"/>
      <c r="AA13" s="13" t="s">
        <v>6</v>
      </c>
      <c r="AB13" s="18" t="s">
        <v>7</v>
      </c>
      <c r="AC13" s="1"/>
    </row>
    <row r="14" spans="1:29" ht="19.5" thickBot="1" x14ac:dyDescent="0.3">
      <c r="A14" s="36" t="str">
        <f t="shared" si="1"/>
        <v>UVT60215LBS 5,0x60 - PF603560R3,Rk</v>
      </c>
      <c r="B14" s="37" t="s">
        <v>22</v>
      </c>
      <c r="C14" s="43" t="s">
        <v>95</v>
      </c>
      <c r="D14" s="8" t="s">
        <v>100</v>
      </c>
      <c r="E14" s="319" t="s">
        <v>43</v>
      </c>
      <c r="F14" s="320"/>
      <c r="G14" s="48">
        <v>4.6669047558312133</v>
      </c>
      <c r="H14" s="49">
        <v>7.848885271170678</v>
      </c>
      <c r="I14" s="50">
        <v>4.6669047558312133</v>
      </c>
      <c r="J14" s="51">
        <v>7.848885271170678</v>
      </c>
      <c r="K14" s="171" t="s">
        <v>78</v>
      </c>
      <c r="L14" s="167" t="s">
        <v>78</v>
      </c>
      <c r="M14" s="167" t="s">
        <v>78</v>
      </c>
      <c r="N14" s="172" t="s">
        <v>78</v>
      </c>
      <c r="Y14" s="3" t="s">
        <v>9</v>
      </c>
      <c r="Z14" s="8" t="s">
        <v>10</v>
      </c>
      <c r="AA14" s="3" t="s">
        <v>11</v>
      </c>
      <c r="AB14" s="4" t="s">
        <v>12</v>
      </c>
      <c r="AC14" s="1"/>
    </row>
    <row r="15" spans="1:29" ht="19.5" thickBot="1" x14ac:dyDescent="0.3">
      <c r="A15" s="36" t="str">
        <f t="shared" si="1"/>
        <v>UVT60215LBS 5,0x60 - PF603560R4,Rk</v>
      </c>
      <c r="B15" s="37" t="s">
        <v>22</v>
      </c>
      <c r="C15" s="43" t="s">
        <v>95</v>
      </c>
      <c r="D15" s="8" t="s">
        <v>100</v>
      </c>
      <c r="E15" s="323" t="s">
        <v>45</v>
      </c>
      <c r="F15" s="324"/>
      <c r="G15" s="52">
        <v>3.5275131124996011</v>
      </c>
      <c r="H15" s="53">
        <v>3.5275131124996011</v>
      </c>
      <c r="I15" s="54">
        <v>2.9043133577401208</v>
      </c>
      <c r="J15" s="55">
        <v>2.9043133577401208</v>
      </c>
      <c r="K15" s="171" t="s">
        <v>78</v>
      </c>
      <c r="L15" s="167" t="s">
        <v>78</v>
      </c>
      <c r="M15" s="167" t="s">
        <v>78</v>
      </c>
      <c r="N15" s="172" t="s">
        <v>78</v>
      </c>
      <c r="Y15" s="3" t="s">
        <v>15</v>
      </c>
      <c r="Z15" s="8" t="s">
        <v>16</v>
      </c>
      <c r="AA15" s="3" t="s">
        <v>17</v>
      </c>
      <c r="AB15" s="4" t="s">
        <v>18</v>
      </c>
      <c r="AC15" s="1"/>
    </row>
    <row r="16" spans="1:29" ht="19.5" thickBot="1" x14ac:dyDescent="0.3">
      <c r="A16" s="36" t="str">
        <f t="shared" si="1"/>
        <v>UVT60215LBS 5,0x70 - PF603570R1,Rk</v>
      </c>
      <c r="B16" s="37" t="s">
        <v>22</v>
      </c>
      <c r="C16" s="43" t="s">
        <v>95</v>
      </c>
      <c r="D16" s="8" t="s">
        <v>101</v>
      </c>
      <c r="E16" s="325" t="s">
        <v>35</v>
      </c>
      <c r="F16" s="326"/>
      <c r="G16" s="56">
        <v>4.1579999999999995</v>
      </c>
      <c r="H16" s="57">
        <v>4.1579999999999995</v>
      </c>
      <c r="I16" s="58">
        <v>4.1579999999999995</v>
      </c>
      <c r="J16" s="59">
        <v>4.1579999999999995</v>
      </c>
      <c r="K16" s="171" t="s">
        <v>78</v>
      </c>
      <c r="L16" s="167" t="s">
        <v>78</v>
      </c>
      <c r="M16" s="167" t="s">
        <v>78</v>
      </c>
      <c r="N16" s="172" t="s">
        <v>78</v>
      </c>
      <c r="Y16" s="3"/>
      <c r="Z16" s="8"/>
      <c r="AA16" s="3" t="s">
        <v>19</v>
      </c>
      <c r="AB16" s="4" t="s">
        <v>18</v>
      </c>
      <c r="AC16" s="1"/>
    </row>
    <row r="17" spans="1:29" ht="19.5" thickBot="1" x14ac:dyDescent="0.3">
      <c r="A17" s="36" t="str">
        <f t="shared" si="1"/>
        <v>UVT60215LBS 5,0x70 - PF603570R2,Rk</v>
      </c>
      <c r="B17" s="37" t="s">
        <v>22</v>
      </c>
      <c r="C17" s="43" t="s">
        <v>95</v>
      </c>
      <c r="D17" s="8" t="s">
        <v>101</v>
      </c>
      <c r="E17" s="323" t="s">
        <v>40</v>
      </c>
      <c r="F17" s="324"/>
      <c r="G17" s="44">
        <v>37.335238046649707</v>
      </c>
      <c r="H17" s="45">
        <v>62.791082169365424</v>
      </c>
      <c r="I17" s="46">
        <v>18.667619023324853</v>
      </c>
      <c r="J17" s="47">
        <v>31.395541084682712</v>
      </c>
      <c r="K17" s="171" t="s">
        <v>78</v>
      </c>
      <c r="L17" s="167" t="s">
        <v>78</v>
      </c>
      <c r="M17" s="167" t="s">
        <v>78</v>
      </c>
      <c r="N17" s="172" t="s">
        <v>78</v>
      </c>
      <c r="Y17" s="3"/>
      <c r="Z17" s="8"/>
      <c r="AA17" s="3" t="s">
        <v>21</v>
      </c>
      <c r="AB17" s="4" t="s">
        <v>18</v>
      </c>
      <c r="AC17" s="1"/>
    </row>
    <row r="18" spans="1:29" ht="19.5" thickBot="1" x14ac:dyDescent="0.3">
      <c r="A18" s="36" t="str">
        <f t="shared" si="1"/>
        <v>UVT60215LBS 5,0x70 - PF603570R3,Rk</v>
      </c>
      <c r="B18" s="37" t="s">
        <v>22</v>
      </c>
      <c r="C18" s="43" t="s">
        <v>95</v>
      </c>
      <c r="D18" s="8" t="s">
        <v>101</v>
      </c>
      <c r="E18" s="319" t="s">
        <v>43</v>
      </c>
      <c r="F18" s="320"/>
      <c r="G18" s="48">
        <v>4.6669047558312133</v>
      </c>
      <c r="H18" s="49">
        <v>7.848885271170678</v>
      </c>
      <c r="I18" s="50">
        <v>4.6669047558312133</v>
      </c>
      <c r="J18" s="51">
        <v>7.848885271170678</v>
      </c>
      <c r="K18" s="171" t="s">
        <v>78</v>
      </c>
      <c r="L18" s="167" t="s">
        <v>78</v>
      </c>
      <c r="M18" s="167" t="s">
        <v>78</v>
      </c>
      <c r="N18" s="172" t="s">
        <v>78</v>
      </c>
      <c r="Y18" s="5"/>
      <c r="Z18" s="16"/>
      <c r="AA18" s="3" t="s">
        <v>22</v>
      </c>
      <c r="AB18" s="4" t="s">
        <v>18</v>
      </c>
      <c r="AC18" s="1"/>
    </row>
    <row r="19" spans="1:29" ht="19.5" thickBot="1" x14ac:dyDescent="0.3">
      <c r="A19" s="36" t="str">
        <f t="shared" si="1"/>
        <v>UVT60215LBS 5,0x70 - PF603570R4,Rk</v>
      </c>
      <c r="B19" s="37" t="s">
        <v>22</v>
      </c>
      <c r="C19" s="43" t="s">
        <v>95</v>
      </c>
      <c r="D19" s="8" t="s">
        <v>101</v>
      </c>
      <c r="E19" s="323" t="s">
        <v>45</v>
      </c>
      <c r="F19" s="324"/>
      <c r="G19" s="44">
        <v>3.6807461709470477</v>
      </c>
      <c r="H19" s="45">
        <v>3.6807461709470477</v>
      </c>
      <c r="I19" s="46">
        <v>3.0304749918157881</v>
      </c>
      <c r="J19" s="47">
        <v>3.0304749918157881</v>
      </c>
      <c r="K19" s="171" t="s">
        <v>78</v>
      </c>
      <c r="L19" s="167" t="s">
        <v>78</v>
      </c>
      <c r="M19" s="167" t="s">
        <v>78</v>
      </c>
      <c r="N19" s="172" t="s">
        <v>78</v>
      </c>
      <c r="Y19" s="1"/>
      <c r="Z19" s="1"/>
      <c r="AA19" s="3" t="s">
        <v>24</v>
      </c>
      <c r="AB19" s="4" t="s">
        <v>18</v>
      </c>
      <c r="AC19" s="1"/>
    </row>
    <row r="20" spans="1:29" ht="18.75" customHeight="1" thickBot="1" x14ac:dyDescent="0.3">
      <c r="A20" s="67" t="str">
        <f t="shared" si="1"/>
        <v>UVT60160LBS 5,0x50 - PF603550R1,Rk</v>
      </c>
      <c r="B20" s="37" t="s">
        <v>21</v>
      </c>
      <c r="C20" s="38" t="s">
        <v>95</v>
      </c>
      <c r="D20" s="22" t="s">
        <v>96</v>
      </c>
      <c r="E20" s="321" t="s">
        <v>35</v>
      </c>
      <c r="F20" s="322"/>
      <c r="G20" s="39">
        <v>2.8980000000000001</v>
      </c>
      <c r="H20" s="40">
        <v>2.8980000000000001</v>
      </c>
      <c r="I20" s="41">
        <v>2.8980000000000001</v>
      </c>
      <c r="J20" s="42">
        <v>2.8980000000000001</v>
      </c>
      <c r="K20" s="171" t="s">
        <v>78</v>
      </c>
      <c r="L20" s="167" t="s">
        <v>78</v>
      </c>
      <c r="M20" s="167" t="s">
        <v>78</v>
      </c>
      <c r="N20" s="172" t="s">
        <v>78</v>
      </c>
      <c r="Y20" s="1"/>
      <c r="Z20" s="1"/>
      <c r="AA20" s="3" t="s">
        <v>25</v>
      </c>
      <c r="AB20" s="4" t="s">
        <v>18</v>
      </c>
      <c r="AC20" s="1"/>
    </row>
    <row r="21" spans="1:29" ht="19.5" thickBot="1" x14ac:dyDescent="0.3">
      <c r="A21" s="161" t="str">
        <f t="shared" si="1"/>
        <v>UVT60160LBS 5,0x50 - PF603550R2,Rk</v>
      </c>
      <c r="B21" s="37" t="s">
        <v>21</v>
      </c>
      <c r="C21" s="43" t="s">
        <v>95</v>
      </c>
      <c r="D21" s="8" t="s">
        <v>96</v>
      </c>
      <c r="E21" s="323" t="s">
        <v>40</v>
      </c>
      <c r="F21" s="324"/>
      <c r="G21" s="44">
        <v>28.001428534987301</v>
      </c>
      <c r="H21" s="45">
        <v>44.846162337849698</v>
      </c>
      <c r="I21" s="46">
        <v>18.667619023324853</v>
      </c>
      <c r="J21" s="47">
        <v>23.490846938873652</v>
      </c>
      <c r="K21" s="171" t="s">
        <v>78</v>
      </c>
      <c r="L21" s="167" t="s">
        <v>78</v>
      </c>
      <c r="M21" s="167" t="s">
        <v>78</v>
      </c>
      <c r="N21" s="172" t="s">
        <v>78</v>
      </c>
      <c r="Y21" s="1"/>
      <c r="Z21" s="1"/>
      <c r="AA21" s="5" t="s">
        <v>27</v>
      </c>
      <c r="AB21" s="6" t="s">
        <v>18</v>
      </c>
      <c r="AC21" s="1"/>
    </row>
    <row r="22" spans="1:29" ht="15" customHeight="1" thickBot="1" x14ac:dyDescent="0.3">
      <c r="A22" s="161" t="str">
        <f t="shared" si="1"/>
        <v>UVT60160LBS 5,0x50 - PF603550R3,Rk</v>
      </c>
      <c r="B22" s="37" t="s">
        <v>21</v>
      </c>
      <c r="C22" s="43" t="s">
        <v>95</v>
      </c>
      <c r="D22" s="8" t="s">
        <v>96</v>
      </c>
      <c r="E22" s="319" t="s">
        <v>43</v>
      </c>
      <c r="F22" s="320"/>
      <c r="G22" s="48">
        <v>4.6669047558312133</v>
      </c>
      <c r="H22" s="49">
        <v>7.848885271170678</v>
      </c>
      <c r="I22" s="50">
        <v>4.6669047558312133</v>
      </c>
      <c r="J22" s="51">
        <v>7.848885271170678</v>
      </c>
      <c r="K22" s="171" t="s">
        <v>78</v>
      </c>
      <c r="L22" s="167" t="s">
        <v>78</v>
      </c>
      <c r="M22" s="167" t="s">
        <v>78</v>
      </c>
      <c r="N22" s="172" t="s">
        <v>78</v>
      </c>
      <c r="Y22" s="1"/>
      <c r="Z22" s="1"/>
      <c r="AA22" s="1"/>
      <c r="AB22" s="1"/>
      <c r="AC22" s="1"/>
    </row>
    <row r="23" spans="1:29" ht="15.95" customHeight="1" thickBot="1" x14ac:dyDescent="0.3">
      <c r="A23" s="161" t="str">
        <f t="shared" si="1"/>
        <v>UVT60160LBS 5,0x50 - PF603550R4,Rk</v>
      </c>
      <c r="B23" s="37" t="s">
        <v>21</v>
      </c>
      <c r="C23" s="43" t="s">
        <v>95</v>
      </c>
      <c r="D23" s="8" t="s">
        <v>96</v>
      </c>
      <c r="E23" s="323" t="s">
        <v>45</v>
      </c>
      <c r="F23" s="324"/>
      <c r="G23" s="52">
        <v>3.0111356687621069</v>
      </c>
      <c r="H23" s="53">
        <v>3.0111356687621069</v>
      </c>
      <c r="I23" s="54">
        <v>2.706210035680968</v>
      </c>
      <c r="J23" s="55">
        <v>2.706210035680968</v>
      </c>
      <c r="K23" s="171" t="s">
        <v>78</v>
      </c>
      <c r="L23" s="167" t="s">
        <v>78</v>
      </c>
      <c r="M23" s="167" t="s">
        <v>78</v>
      </c>
      <c r="N23" s="172" t="s">
        <v>78</v>
      </c>
      <c r="Y23" s="9" t="e">
        <f>MATCH(E18,Y25:Y30,0)</f>
        <v>#N/A</v>
      </c>
      <c r="Z23" s="1"/>
      <c r="AA23" s="9" t="e">
        <f>MATCH(#REF!,AA25:AA28,0)</f>
        <v>#REF!</v>
      </c>
      <c r="AB23" s="9"/>
      <c r="AC23" s="9" t="e">
        <f>MATCH(#REF!,AC25:AC36,0)</f>
        <v>#REF!</v>
      </c>
    </row>
    <row r="24" spans="1:29" ht="15" customHeight="1" thickBot="1" x14ac:dyDescent="0.3">
      <c r="A24" s="161" t="str">
        <f t="shared" si="1"/>
        <v>UVT60160LBS 5,0x60 - PF603560R1,Rk</v>
      </c>
      <c r="B24" s="37" t="s">
        <v>21</v>
      </c>
      <c r="C24" s="43" t="s">
        <v>95</v>
      </c>
      <c r="D24" s="8" t="s">
        <v>100</v>
      </c>
      <c r="E24" s="325" t="s">
        <v>35</v>
      </c>
      <c r="F24" s="326"/>
      <c r="G24" s="56">
        <v>3.528</v>
      </c>
      <c r="H24" s="57">
        <v>3.528</v>
      </c>
      <c r="I24" s="58">
        <v>3.528</v>
      </c>
      <c r="J24" s="59">
        <v>3.528</v>
      </c>
      <c r="K24" s="171" t="s">
        <v>78</v>
      </c>
      <c r="L24" s="167" t="s">
        <v>78</v>
      </c>
      <c r="M24" s="167" t="s">
        <v>78</v>
      </c>
      <c r="N24" s="172" t="s">
        <v>78</v>
      </c>
      <c r="Y24" s="10" t="s">
        <v>29</v>
      </c>
      <c r="Z24" s="1"/>
      <c r="AA24" s="10" t="s">
        <v>30</v>
      </c>
      <c r="AB24" s="10"/>
      <c r="AC24" s="10" t="s">
        <v>31</v>
      </c>
    </row>
    <row r="25" spans="1:29" ht="15" customHeight="1" thickBot="1" x14ac:dyDescent="0.3">
      <c r="A25" s="161" t="str">
        <f t="shared" si="1"/>
        <v>UVT60160LBS 5,0x60 - PF603560R2,Rk</v>
      </c>
      <c r="B25" s="37" t="s">
        <v>21</v>
      </c>
      <c r="C25" s="43" t="s">
        <v>95</v>
      </c>
      <c r="D25" s="8" t="s">
        <v>100</v>
      </c>
      <c r="E25" s="323" t="s">
        <v>40</v>
      </c>
      <c r="F25" s="324"/>
      <c r="G25" s="44">
        <v>28.001428534987276</v>
      </c>
      <c r="H25" s="45">
        <v>47.093311627024065</v>
      </c>
      <c r="I25" s="46">
        <v>18.667619023324853</v>
      </c>
      <c r="J25" s="47">
        <v>24.934596938873646</v>
      </c>
      <c r="K25" s="171" t="s">
        <v>78</v>
      </c>
      <c r="L25" s="167" t="s">
        <v>78</v>
      </c>
      <c r="M25" s="167" t="s">
        <v>78</v>
      </c>
      <c r="N25" s="172" t="s">
        <v>78</v>
      </c>
      <c r="Y25" s="8" t="s">
        <v>96</v>
      </c>
      <c r="Z25" s="8"/>
      <c r="AA25" s="8" t="s">
        <v>33</v>
      </c>
      <c r="AB25" s="8" t="s">
        <v>12</v>
      </c>
      <c r="AC25" s="8" t="s">
        <v>34</v>
      </c>
    </row>
    <row r="26" spans="1:29" ht="15" customHeight="1" thickBot="1" x14ac:dyDescent="0.3">
      <c r="A26" s="161" t="str">
        <f t="shared" si="1"/>
        <v>UVT60160LBS 5,0x60 - PF603560R3,Rk</v>
      </c>
      <c r="B26" s="37" t="s">
        <v>21</v>
      </c>
      <c r="C26" s="43" t="s">
        <v>95</v>
      </c>
      <c r="D26" s="8" t="s">
        <v>100</v>
      </c>
      <c r="E26" s="319" t="s">
        <v>43</v>
      </c>
      <c r="F26" s="320"/>
      <c r="G26" s="48">
        <v>4.6669047558312133</v>
      </c>
      <c r="H26" s="49">
        <v>7.848885271170678</v>
      </c>
      <c r="I26" s="50">
        <v>4.6669047558312133</v>
      </c>
      <c r="J26" s="51">
        <v>7.848885271170678</v>
      </c>
      <c r="K26" s="171" t="s">
        <v>78</v>
      </c>
      <c r="L26" s="167" t="s">
        <v>78</v>
      </c>
      <c r="M26" s="167" t="s">
        <v>78</v>
      </c>
      <c r="N26" s="172" t="s">
        <v>78</v>
      </c>
      <c r="Y26" s="8" t="s">
        <v>100</v>
      </c>
      <c r="Z26" s="8"/>
      <c r="AA26" s="8" t="s">
        <v>38</v>
      </c>
      <c r="AB26" s="8" t="s">
        <v>12</v>
      </c>
      <c r="AC26" s="8"/>
    </row>
    <row r="27" spans="1:29" ht="18.75" customHeight="1" thickBot="1" x14ac:dyDescent="0.3">
      <c r="A27" s="161" t="str">
        <f t="shared" si="1"/>
        <v>UVT60160LBS 5,0x60 - PF603560R4,Rk</v>
      </c>
      <c r="B27" s="37" t="s">
        <v>21</v>
      </c>
      <c r="C27" s="43" t="s">
        <v>95</v>
      </c>
      <c r="D27" s="8" t="s">
        <v>100</v>
      </c>
      <c r="E27" s="323" t="s">
        <v>45</v>
      </c>
      <c r="F27" s="324"/>
      <c r="G27" s="52">
        <v>3.1478775871960898</v>
      </c>
      <c r="H27" s="53">
        <v>3.1478775871960898</v>
      </c>
      <c r="I27" s="54">
        <v>2.8291046484356444</v>
      </c>
      <c r="J27" s="55">
        <v>2.8291046484356444</v>
      </c>
      <c r="K27" s="171" t="s">
        <v>78</v>
      </c>
      <c r="L27" s="167" t="s">
        <v>78</v>
      </c>
      <c r="M27" s="167" t="s">
        <v>78</v>
      </c>
      <c r="N27" s="172" t="s">
        <v>78</v>
      </c>
      <c r="Y27" s="8" t="s">
        <v>101</v>
      </c>
      <c r="Z27" s="8"/>
      <c r="AA27" s="8" t="s">
        <v>42</v>
      </c>
      <c r="AB27" s="8" t="s">
        <v>18</v>
      </c>
      <c r="AC27" s="8"/>
    </row>
    <row r="28" spans="1:29" ht="19.5" thickBot="1" x14ac:dyDescent="0.3">
      <c r="A28" s="161" t="str">
        <f t="shared" si="1"/>
        <v>UVT60160LBS 5,0x70 - PF603570R1,Rk</v>
      </c>
      <c r="B28" s="37" t="s">
        <v>21</v>
      </c>
      <c r="C28" s="43" t="s">
        <v>95</v>
      </c>
      <c r="D28" s="8" t="s">
        <v>101</v>
      </c>
      <c r="E28" s="325" t="s">
        <v>35</v>
      </c>
      <c r="F28" s="326"/>
      <c r="G28" s="56">
        <v>4.1579999999999995</v>
      </c>
      <c r="H28" s="57">
        <v>4.1579999999999995</v>
      </c>
      <c r="I28" s="58">
        <v>4.1579999999999995</v>
      </c>
      <c r="J28" s="59">
        <v>4.1579999999999995</v>
      </c>
      <c r="K28" s="171" t="s">
        <v>78</v>
      </c>
      <c r="L28" s="167" t="s">
        <v>78</v>
      </c>
      <c r="M28" s="167" t="s">
        <v>78</v>
      </c>
      <c r="N28" s="172" t="s">
        <v>78</v>
      </c>
      <c r="Y28" s="1"/>
      <c r="Z28" s="8"/>
      <c r="AA28" s="8" t="s">
        <v>44</v>
      </c>
      <c r="AB28" s="8" t="s">
        <v>18</v>
      </c>
      <c r="AC28" s="8"/>
    </row>
    <row r="29" spans="1:29" ht="19.5" thickBot="1" x14ac:dyDescent="0.3">
      <c r="A29" s="161" t="str">
        <f t="shared" si="1"/>
        <v>UVT60160LBS 5,0x70 - PF603570R2,Rk</v>
      </c>
      <c r="B29" s="37" t="s">
        <v>21</v>
      </c>
      <c r="C29" s="43" t="s">
        <v>95</v>
      </c>
      <c r="D29" s="8" t="s">
        <v>101</v>
      </c>
      <c r="E29" s="323" t="s">
        <v>40</v>
      </c>
      <c r="F29" s="324"/>
      <c r="G29" s="44">
        <v>28.001428534987276</v>
      </c>
      <c r="H29" s="45">
        <v>47.093311627024065</v>
      </c>
      <c r="I29" s="46">
        <v>18.667619023324853</v>
      </c>
      <c r="J29" s="47">
        <v>26.378346938873648</v>
      </c>
      <c r="K29" s="171" t="s">
        <v>78</v>
      </c>
      <c r="L29" s="167" t="s">
        <v>78</v>
      </c>
      <c r="M29" s="167" t="s">
        <v>78</v>
      </c>
      <c r="N29" s="172" t="s">
        <v>78</v>
      </c>
      <c r="Y29" s="1"/>
      <c r="Z29" s="2"/>
      <c r="AA29" s="2"/>
      <c r="AB29" s="2"/>
      <c r="AC29" s="2"/>
    </row>
    <row r="30" spans="1:29" ht="19.5" thickBot="1" x14ac:dyDescent="0.3">
      <c r="A30" s="161" t="str">
        <f t="shared" si="1"/>
        <v>UVT60160LBS 5,0x70 - PF603570R3,Rk</v>
      </c>
      <c r="B30" s="37" t="s">
        <v>21</v>
      </c>
      <c r="C30" s="43" t="s">
        <v>95</v>
      </c>
      <c r="D30" s="8" t="s">
        <v>101</v>
      </c>
      <c r="E30" s="319" t="s">
        <v>43</v>
      </c>
      <c r="F30" s="320"/>
      <c r="G30" s="48">
        <v>4.6669047558312133</v>
      </c>
      <c r="H30" s="49">
        <v>7.848885271170678</v>
      </c>
      <c r="I30" s="50">
        <v>4.6669047558312133</v>
      </c>
      <c r="J30" s="51">
        <v>7.848885271170678</v>
      </c>
      <c r="K30" s="171" t="s">
        <v>78</v>
      </c>
      <c r="L30" s="167" t="s">
        <v>78</v>
      </c>
      <c r="M30" s="167" t="s">
        <v>78</v>
      </c>
      <c r="N30" s="172" t="s">
        <v>78</v>
      </c>
      <c r="Y30" s="1"/>
      <c r="Z30" s="1"/>
      <c r="AA30" s="2"/>
      <c r="AB30" s="2"/>
      <c r="AC30" s="2"/>
    </row>
    <row r="31" spans="1:29" ht="19.5" thickBot="1" x14ac:dyDescent="0.3">
      <c r="A31" s="162" t="str">
        <f t="shared" si="1"/>
        <v>UVT60160LBS 5,0x70 - PF603570R4,Rk</v>
      </c>
      <c r="B31" s="165" t="s">
        <v>21</v>
      </c>
      <c r="C31" s="64" t="s">
        <v>95</v>
      </c>
      <c r="D31" s="16" t="s">
        <v>101</v>
      </c>
      <c r="E31" s="327" t="s">
        <v>45</v>
      </c>
      <c r="F31" s="328"/>
      <c r="G31" s="60">
        <v>3.2846195056300731</v>
      </c>
      <c r="H31" s="61">
        <v>3.2846195056300731</v>
      </c>
      <c r="I31" s="62">
        <v>2.9519992611903212</v>
      </c>
      <c r="J31" s="63">
        <v>2.9519992611903212</v>
      </c>
      <c r="K31" s="171" t="s">
        <v>78</v>
      </c>
      <c r="L31" s="167" t="s">
        <v>78</v>
      </c>
      <c r="M31" s="167" t="s">
        <v>78</v>
      </c>
      <c r="N31" s="172" t="s">
        <v>78</v>
      </c>
      <c r="Y31" s="11"/>
      <c r="Z31" s="329" t="s">
        <v>4</v>
      </c>
      <c r="AA31" s="2"/>
      <c r="AB31" s="2"/>
      <c r="AC31" s="2"/>
    </row>
    <row r="32" spans="1:29" ht="18.75" customHeight="1" thickBot="1" x14ac:dyDescent="0.3">
      <c r="A32" s="67" t="str">
        <f t="shared" si="1"/>
        <v>UVT60115LBS 5,0x50 - PF603550R1,Rk</v>
      </c>
      <c r="B32" s="37" t="s">
        <v>19</v>
      </c>
      <c r="C32" s="38" t="s">
        <v>95</v>
      </c>
      <c r="D32" s="22" t="s">
        <v>96</v>
      </c>
      <c r="E32" s="321" t="s">
        <v>35</v>
      </c>
      <c r="F32" s="322"/>
      <c r="G32" s="39">
        <v>1.4490000000000001</v>
      </c>
      <c r="H32" s="40">
        <v>1.4490000000000001</v>
      </c>
      <c r="I32" s="41">
        <v>1.4490000000000001</v>
      </c>
      <c r="J32" s="42">
        <v>1.4490000000000001</v>
      </c>
      <c r="K32" s="171" t="s">
        <v>78</v>
      </c>
      <c r="L32" s="167" t="s">
        <v>78</v>
      </c>
      <c r="M32" s="167" t="s">
        <v>78</v>
      </c>
      <c r="N32" s="172" t="s">
        <v>78</v>
      </c>
      <c r="Y32" s="12"/>
      <c r="Z32" s="330"/>
      <c r="AA32" s="2"/>
      <c r="AB32" s="2"/>
      <c r="AC32" s="2"/>
    </row>
    <row r="33" spans="1:29" ht="19.5" thickBot="1" x14ac:dyDescent="0.3">
      <c r="A33" s="161" t="str">
        <f t="shared" si="1"/>
        <v>UVT60115LBS 5,0x50 - PF603550R2,Rk</v>
      </c>
      <c r="B33" s="37" t="s">
        <v>19</v>
      </c>
      <c r="C33" s="43" t="s">
        <v>95</v>
      </c>
      <c r="D33" s="8" t="s">
        <v>96</v>
      </c>
      <c r="E33" s="323" t="s">
        <v>40</v>
      </c>
      <c r="F33" s="324"/>
      <c r="G33" s="44">
        <v>28.001428534987276</v>
      </c>
      <c r="H33" s="45">
        <v>32.032973098464069</v>
      </c>
      <c r="I33" s="46">
        <v>17.084252319180838</v>
      </c>
      <c r="J33" s="47">
        <v>17.084252319180838</v>
      </c>
      <c r="K33" s="171" t="s">
        <v>78</v>
      </c>
      <c r="L33" s="167" t="s">
        <v>78</v>
      </c>
      <c r="M33" s="167" t="s">
        <v>78</v>
      </c>
      <c r="N33" s="172" t="s">
        <v>78</v>
      </c>
      <c r="Y33" s="13" t="s">
        <v>28</v>
      </c>
      <c r="Z33" s="20" t="e">
        <f>INDEX($Z$26:$AA$27,Y12,2)</f>
        <v>#N/A</v>
      </c>
      <c r="AA33" s="2"/>
      <c r="AB33" s="2"/>
      <c r="AC33" s="2"/>
    </row>
    <row r="34" spans="1:29" ht="19.5" thickBot="1" x14ac:dyDescent="0.3">
      <c r="A34" s="161" t="str">
        <f t="shared" si="1"/>
        <v>UVT60115LBS 5,0x50 - PF603550R3,Rk</v>
      </c>
      <c r="B34" s="37" t="s">
        <v>19</v>
      </c>
      <c r="C34" s="43" t="s">
        <v>95</v>
      </c>
      <c r="D34" s="8" t="s">
        <v>96</v>
      </c>
      <c r="E34" s="319" t="s">
        <v>43</v>
      </c>
      <c r="F34" s="320"/>
      <c r="G34" s="48">
        <v>4.6669047558312133</v>
      </c>
      <c r="H34" s="49">
        <v>7.848885271170678</v>
      </c>
      <c r="I34" s="50">
        <v>4.6669047558312133</v>
      </c>
      <c r="J34" s="51">
        <v>7.848885271170678</v>
      </c>
      <c r="K34" s="171" t="s">
        <v>78</v>
      </c>
      <c r="L34" s="167" t="s">
        <v>78</v>
      </c>
      <c r="M34" s="167" t="s">
        <v>78</v>
      </c>
      <c r="N34" s="172" t="s">
        <v>78</v>
      </c>
      <c r="Y34" s="3" t="s">
        <v>47</v>
      </c>
      <c r="Z34" s="65" t="s">
        <v>48</v>
      </c>
      <c r="AA34" s="2"/>
      <c r="AB34" s="2"/>
      <c r="AC34" s="2"/>
    </row>
    <row r="35" spans="1:29" ht="19.5" thickBot="1" x14ac:dyDescent="0.3">
      <c r="A35" s="161" t="str">
        <f t="shared" si="1"/>
        <v>UVT60115LBS 5,0x50 - PF603550R4,Rk</v>
      </c>
      <c r="B35" s="37" t="s">
        <v>19</v>
      </c>
      <c r="C35" s="43" t="s">
        <v>95</v>
      </c>
      <c r="D35" s="8" t="s">
        <v>96</v>
      </c>
      <c r="E35" s="323" t="s">
        <v>45</v>
      </c>
      <c r="F35" s="324"/>
      <c r="G35" s="52">
        <v>2.5861075687796791</v>
      </c>
      <c r="H35" s="53">
        <v>2.5861075687796791</v>
      </c>
      <c r="I35" s="54">
        <v>2.1822060683311588</v>
      </c>
      <c r="J35" s="55">
        <v>2.1822060683311588</v>
      </c>
      <c r="K35" s="171" t="s">
        <v>78</v>
      </c>
      <c r="L35" s="167" t="s">
        <v>78</v>
      </c>
      <c r="M35" s="167" t="s">
        <v>78</v>
      </c>
      <c r="N35" s="172" t="s">
        <v>78</v>
      </c>
      <c r="Y35" s="5" t="s">
        <v>49</v>
      </c>
      <c r="Z35" s="66" t="s">
        <v>50</v>
      </c>
      <c r="AA35" s="2"/>
      <c r="AB35" s="2"/>
      <c r="AC35" s="2"/>
    </row>
    <row r="36" spans="1:29" ht="19.5" thickBot="1" x14ac:dyDescent="0.3">
      <c r="A36" s="161" t="str">
        <f t="shared" si="1"/>
        <v>UVT60115LBS 5,0x60 - PF603560R1,Rk</v>
      </c>
      <c r="B36" s="37" t="s">
        <v>19</v>
      </c>
      <c r="C36" s="43" t="s">
        <v>95</v>
      </c>
      <c r="D36" s="8" t="s">
        <v>100</v>
      </c>
      <c r="E36" s="325" t="s">
        <v>35</v>
      </c>
      <c r="F36" s="326"/>
      <c r="G36" s="56">
        <v>1.764</v>
      </c>
      <c r="H36" s="57">
        <v>1.764</v>
      </c>
      <c r="I36" s="58">
        <v>1.764</v>
      </c>
      <c r="J36" s="59">
        <v>1.764</v>
      </c>
      <c r="K36" s="171" t="s">
        <v>78</v>
      </c>
      <c r="L36" s="167" t="s">
        <v>78</v>
      </c>
      <c r="M36" s="167" t="s">
        <v>78</v>
      </c>
      <c r="N36" s="172" t="s">
        <v>78</v>
      </c>
      <c r="Y36" s="1"/>
      <c r="Z36" s="1"/>
      <c r="AA36" s="2"/>
      <c r="AB36" s="2"/>
      <c r="AC36" s="2"/>
    </row>
    <row r="37" spans="1:29" ht="19.5" thickBot="1" x14ac:dyDescent="0.3">
      <c r="A37" s="161" t="str">
        <f t="shared" si="1"/>
        <v>UVT60115LBS 5,0x60 - PF603560R2,Rk</v>
      </c>
      <c r="B37" s="37" t="s">
        <v>19</v>
      </c>
      <c r="C37" s="43" t="s">
        <v>95</v>
      </c>
      <c r="D37" s="8" t="s">
        <v>100</v>
      </c>
      <c r="E37" s="323" t="s">
        <v>40</v>
      </c>
      <c r="F37" s="324"/>
      <c r="G37" s="44">
        <v>28.001428534987276</v>
      </c>
      <c r="H37" s="45">
        <v>34.001723098464062</v>
      </c>
      <c r="I37" s="46">
        <v>18.134252319180835</v>
      </c>
      <c r="J37" s="47">
        <v>18.134252319180835</v>
      </c>
      <c r="K37" s="171" t="s">
        <v>78</v>
      </c>
      <c r="L37" s="167" t="s">
        <v>78</v>
      </c>
      <c r="M37" s="167" t="s">
        <v>78</v>
      </c>
      <c r="N37" s="172" t="s">
        <v>78</v>
      </c>
    </row>
    <row r="38" spans="1:29" ht="19.5" thickBot="1" x14ac:dyDescent="0.3">
      <c r="A38" s="161" t="str">
        <f t="shared" si="1"/>
        <v>UVT60115LBS 5,0x60 - PF603560R3,Rk</v>
      </c>
      <c r="B38" s="37" t="s">
        <v>19</v>
      </c>
      <c r="C38" s="43" t="s">
        <v>95</v>
      </c>
      <c r="D38" s="8" t="s">
        <v>100</v>
      </c>
      <c r="E38" s="319" t="s">
        <v>43</v>
      </c>
      <c r="F38" s="320"/>
      <c r="G38" s="48">
        <v>4.6669047558312133</v>
      </c>
      <c r="H38" s="49">
        <v>7.848885271170678</v>
      </c>
      <c r="I38" s="50">
        <v>4.6669047558312133</v>
      </c>
      <c r="J38" s="51">
        <v>7.848885271170678</v>
      </c>
      <c r="K38" s="171" t="s">
        <v>78</v>
      </c>
      <c r="L38" s="167" t="s">
        <v>78</v>
      </c>
      <c r="M38" s="167" t="s">
        <v>78</v>
      </c>
      <c r="N38" s="172" t="s">
        <v>78</v>
      </c>
    </row>
    <row r="39" spans="1:29" ht="19.5" thickBot="1" x14ac:dyDescent="0.3">
      <c r="A39" s="161" t="str">
        <f t="shared" si="1"/>
        <v>UVT60115LBS 5,0x60 - PF603560R4,Rk</v>
      </c>
      <c r="B39" s="37" t="s">
        <v>19</v>
      </c>
      <c r="C39" s="43" t="s">
        <v>95</v>
      </c>
      <c r="D39" s="8" t="s">
        <v>100</v>
      </c>
      <c r="E39" s="323" t="s">
        <v>45</v>
      </c>
      <c r="F39" s="324"/>
      <c r="G39" s="52">
        <v>2.7035480793153455</v>
      </c>
      <c r="H39" s="53">
        <v>2.7035480793153455</v>
      </c>
      <c r="I39" s="54">
        <v>2.2813045736882942</v>
      </c>
      <c r="J39" s="55">
        <v>2.2813045736882942</v>
      </c>
      <c r="K39" s="171" t="s">
        <v>78</v>
      </c>
      <c r="L39" s="167" t="s">
        <v>78</v>
      </c>
      <c r="M39" s="167" t="s">
        <v>78</v>
      </c>
      <c r="N39" s="172" t="s">
        <v>78</v>
      </c>
    </row>
    <row r="40" spans="1:29" ht="19.5" thickBot="1" x14ac:dyDescent="0.3">
      <c r="A40" s="161" t="str">
        <f t="shared" si="1"/>
        <v>UVT60115LBS 5,0x70 - PF603570R1,Rk</v>
      </c>
      <c r="B40" s="37" t="s">
        <v>19</v>
      </c>
      <c r="C40" s="43" t="s">
        <v>95</v>
      </c>
      <c r="D40" s="8" t="s">
        <v>101</v>
      </c>
      <c r="E40" s="325" t="s">
        <v>35</v>
      </c>
      <c r="F40" s="326"/>
      <c r="G40" s="56">
        <v>2.0789999999999997</v>
      </c>
      <c r="H40" s="57">
        <v>2.0789999999999997</v>
      </c>
      <c r="I40" s="58">
        <v>2.0789999999999997</v>
      </c>
      <c r="J40" s="59">
        <v>2.0789999999999997</v>
      </c>
      <c r="K40" s="171" t="s">
        <v>78</v>
      </c>
      <c r="L40" s="167" t="s">
        <v>78</v>
      </c>
      <c r="M40" s="167" t="s">
        <v>78</v>
      </c>
      <c r="N40" s="172" t="s">
        <v>78</v>
      </c>
    </row>
    <row r="41" spans="1:29" ht="15" customHeight="1" thickBot="1" x14ac:dyDescent="0.3">
      <c r="A41" s="161" t="str">
        <f t="shared" si="1"/>
        <v>UVT60115LBS 5,0x70 - PF603570R2,Rk</v>
      </c>
      <c r="B41" s="37" t="s">
        <v>19</v>
      </c>
      <c r="C41" s="43" t="s">
        <v>95</v>
      </c>
      <c r="D41" s="8" t="s">
        <v>101</v>
      </c>
      <c r="E41" s="323" t="s">
        <v>40</v>
      </c>
      <c r="F41" s="324"/>
      <c r="G41" s="44">
        <v>28.001428534987276</v>
      </c>
      <c r="H41" s="45">
        <v>35.970473098464069</v>
      </c>
      <c r="I41" s="46">
        <v>18.667619023324853</v>
      </c>
      <c r="J41" s="47">
        <v>19.184252319180835</v>
      </c>
      <c r="K41" s="171" t="s">
        <v>78</v>
      </c>
      <c r="L41" s="167" t="s">
        <v>78</v>
      </c>
      <c r="M41" s="167" t="s">
        <v>78</v>
      </c>
      <c r="N41" s="172" t="s">
        <v>78</v>
      </c>
    </row>
    <row r="42" spans="1:29" ht="15.95" customHeight="1" thickBot="1" x14ac:dyDescent="0.3">
      <c r="A42" s="161" t="str">
        <f t="shared" si="1"/>
        <v>UVT60115LBS 5,0x70 - PF603570R3,Rk</v>
      </c>
      <c r="B42" s="37" t="s">
        <v>19</v>
      </c>
      <c r="C42" s="43" t="s">
        <v>95</v>
      </c>
      <c r="D42" s="8" t="s">
        <v>101</v>
      </c>
      <c r="E42" s="319" t="s">
        <v>43</v>
      </c>
      <c r="F42" s="320"/>
      <c r="G42" s="48">
        <v>4.6669047558312133</v>
      </c>
      <c r="H42" s="49">
        <v>7.848885271170678</v>
      </c>
      <c r="I42" s="50">
        <v>4.6669047558312133</v>
      </c>
      <c r="J42" s="51">
        <v>7.848885271170678</v>
      </c>
      <c r="K42" s="171" t="s">
        <v>78</v>
      </c>
      <c r="L42" s="167" t="s">
        <v>78</v>
      </c>
      <c r="M42" s="167" t="s">
        <v>78</v>
      </c>
      <c r="N42" s="172" t="s">
        <v>78</v>
      </c>
    </row>
    <row r="43" spans="1:29" ht="15" customHeight="1" thickBot="1" x14ac:dyDescent="0.3">
      <c r="A43" s="162" t="str">
        <f t="shared" si="1"/>
        <v>UVT60115LBS 5,0x70 - PF603570R4,Rk</v>
      </c>
      <c r="B43" s="165" t="s">
        <v>19</v>
      </c>
      <c r="C43" s="64" t="s">
        <v>95</v>
      </c>
      <c r="D43" s="16" t="s">
        <v>101</v>
      </c>
      <c r="E43" s="327" t="s">
        <v>45</v>
      </c>
      <c r="F43" s="328"/>
      <c r="G43" s="60">
        <v>2.8209885898510119</v>
      </c>
      <c r="H43" s="61">
        <v>2.8209885898510119</v>
      </c>
      <c r="I43" s="62">
        <v>2.3804030790454291</v>
      </c>
      <c r="J43" s="63">
        <v>2.3804030790454291</v>
      </c>
      <c r="K43" s="171" t="s">
        <v>78</v>
      </c>
      <c r="L43" s="167" t="s">
        <v>78</v>
      </c>
      <c r="M43" s="167" t="s">
        <v>78</v>
      </c>
      <c r="N43" s="172" t="s">
        <v>78</v>
      </c>
    </row>
    <row r="44" spans="1:29" ht="15" customHeight="1" thickBot="1" x14ac:dyDescent="0.3">
      <c r="A44" s="67" t="str">
        <f t="shared" si="1"/>
        <v>UVT4085LBS 5,0x50 - PF603550R1,Rk</v>
      </c>
      <c r="B44" s="37" t="s">
        <v>17</v>
      </c>
      <c r="C44" s="38" t="s">
        <v>95</v>
      </c>
      <c r="D44" s="22" t="s">
        <v>96</v>
      </c>
      <c r="E44" s="321" t="s">
        <v>35</v>
      </c>
      <c r="F44" s="322"/>
      <c r="G44" s="39">
        <v>1.4490000000000001</v>
      </c>
      <c r="H44" s="40">
        <v>1.4490000000000001</v>
      </c>
      <c r="I44" s="41">
        <v>1.4490000000000001</v>
      </c>
      <c r="J44" s="42">
        <v>1.4490000000000001</v>
      </c>
      <c r="K44" s="171" t="s">
        <v>78</v>
      </c>
      <c r="L44" s="167" t="s">
        <v>78</v>
      </c>
      <c r="M44" s="167" t="s">
        <v>78</v>
      </c>
      <c r="N44" s="172" t="s">
        <v>78</v>
      </c>
    </row>
    <row r="45" spans="1:29" ht="19.5" thickBot="1" x14ac:dyDescent="0.3">
      <c r="A45" s="161" t="str">
        <f t="shared" si="1"/>
        <v>UVT4085LBS 5,0x50 - PF603550R2,Rk</v>
      </c>
      <c r="B45" s="37" t="s">
        <v>17</v>
      </c>
      <c r="C45" s="43" t="s">
        <v>95</v>
      </c>
      <c r="D45" s="8" t="s">
        <v>96</v>
      </c>
      <c r="E45" s="323" t="s">
        <v>40</v>
      </c>
      <c r="F45" s="324"/>
      <c r="G45" s="44">
        <v>18.667619023324853</v>
      </c>
      <c r="H45" s="45">
        <v>19.219783859078444</v>
      </c>
      <c r="I45" s="46">
        <v>10.677657699488023</v>
      </c>
      <c r="J45" s="47">
        <v>10.677657699488023</v>
      </c>
      <c r="K45" s="171" t="s">
        <v>78</v>
      </c>
      <c r="L45" s="167" t="s">
        <v>78</v>
      </c>
      <c r="M45" s="167" t="s">
        <v>78</v>
      </c>
      <c r="N45" s="172" t="s">
        <v>78</v>
      </c>
    </row>
    <row r="46" spans="1:29" ht="18.75" customHeight="1" thickBot="1" x14ac:dyDescent="0.3">
      <c r="A46" s="161" t="str">
        <f t="shared" si="1"/>
        <v>UVT4085LBS 5,0x50 - PF603550R3,Rk</v>
      </c>
      <c r="B46" s="37" t="s">
        <v>17</v>
      </c>
      <c r="C46" s="43" t="s">
        <v>95</v>
      </c>
      <c r="D46" s="8" t="s">
        <v>96</v>
      </c>
      <c r="E46" s="319" t="s">
        <v>43</v>
      </c>
      <c r="F46" s="320"/>
      <c r="G46" s="48">
        <v>4.6669047558312133</v>
      </c>
      <c r="H46" s="49">
        <v>7.848885271170678</v>
      </c>
      <c r="I46" s="50">
        <v>4.6669047558312133</v>
      </c>
      <c r="J46" s="51">
        <v>7.848885271170678</v>
      </c>
      <c r="K46" s="171" t="s">
        <v>78</v>
      </c>
      <c r="L46" s="167" t="s">
        <v>78</v>
      </c>
      <c r="M46" s="167" t="s">
        <v>78</v>
      </c>
      <c r="N46" s="172" t="s">
        <v>78</v>
      </c>
    </row>
    <row r="47" spans="1:29" ht="19.5" thickBot="1" x14ac:dyDescent="0.3">
      <c r="A47" s="161" t="str">
        <f t="shared" si="1"/>
        <v>UVT4085LBS 5,0x50 - PF603550R4,Rk</v>
      </c>
      <c r="B47" s="37" t="s">
        <v>17</v>
      </c>
      <c r="C47" s="43" t="s">
        <v>95</v>
      </c>
      <c r="D47" s="8" t="s">
        <v>96</v>
      </c>
      <c r="E47" s="323" t="s">
        <v>45</v>
      </c>
      <c r="F47" s="324"/>
      <c r="G47" s="52">
        <v>1.4996516271462794</v>
      </c>
      <c r="H47" s="53">
        <v>1.4996516271462794</v>
      </c>
      <c r="I47" s="54">
        <v>1.4996516271462794</v>
      </c>
      <c r="J47" s="55">
        <v>1.4996516271462794</v>
      </c>
      <c r="K47" s="171" t="s">
        <v>78</v>
      </c>
      <c r="L47" s="167" t="s">
        <v>78</v>
      </c>
      <c r="M47" s="167" t="s">
        <v>78</v>
      </c>
      <c r="N47" s="172" t="s">
        <v>78</v>
      </c>
    </row>
    <row r="48" spans="1:29" ht="19.5" thickBot="1" x14ac:dyDescent="0.3">
      <c r="A48" s="161" t="str">
        <f t="shared" si="1"/>
        <v>UVT4085LBS 5,0x60 - PF603560R1,Rk</v>
      </c>
      <c r="B48" s="37" t="s">
        <v>17</v>
      </c>
      <c r="C48" s="43" t="s">
        <v>95</v>
      </c>
      <c r="D48" s="8" t="s">
        <v>100</v>
      </c>
      <c r="E48" s="325" t="s">
        <v>35</v>
      </c>
      <c r="F48" s="326"/>
      <c r="G48" s="56">
        <v>1.764</v>
      </c>
      <c r="H48" s="57">
        <v>1.764</v>
      </c>
      <c r="I48" s="58">
        <v>1.764</v>
      </c>
      <c r="J48" s="59">
        <v>1.764</v>
      </c>
      <c r="K48" s="171" t="s">
        <v>78</v>
      </c>
      <c r="L48" s="167" t="s">
        <v>78</v>
      </c>
      <c r="M48" s="167" t="s">
        <v>78</v>
      </c>
      <c r="N48" s="172" t="s">
        <v>78</v>
      </c>
    </row>
    <row r="49" spans="1:14" ht="19.5" thickBot="1" x14ac:dyDescent="0.3">
      <c r="A49" s="161" t="str">
        <f t="shared" si="1"/>
        <v>UVT4085LBS 5,0x60 - PF603560R2,Rk</v>
      </c>
      <c r="B49" s="37" t="s">
        <v>17</v>
      </c>
      <c r="C49" s="43" t="s">
        <v>95</v>
      </c>
      <c r="D49" s="8" t="s">
        <v>100</v>
      </c>
      <c r="E49" s="323" t="s">
        <v>40</v>
      </c>
      <c r="F49" s="324"/>
      <c r="G49" s="44">
        <v>18.667619023324853</v>
      </c>
      <c r="H49" s="45">
        <v>20.401033859078439</v>
      </c>
      <c r="I49" s="46">
        <v>11.333907699488021</v>
      </c>
      <c r="J49" s="47">
        <v>11.333907699488021</v>
      </c>
      <c r="K49" s="171" t="s">
        <v>78</v>
      </c>
      <c r="L49" s="167" t="s">
        <v>78</v>
      </c>
      <c r="M49" s="167" t="s">
        <v>78</v>
      </c>
      <c r="N49" s="172" t="s">
        <v>78</v>
      </c>
    </row>
    <row r="50" spans="1:14" ht="19.5" thickBot="1" x14ac:dyDescent="0.3">
      <c r="A50" s="161" t="str">
        <f t="shared" si="1"/>
        <v>UVT4085LBS 5,0x60 - PF603560R3,Rk</v>
      </c>
      <c r="B50" s="37" t="s">
        <v>17</v>
      </c>
      <c r="C50" s="43" t="s">
        <v>95</v>
      </c>
      <c r="D50" s="8" t="s">
        <v>100</v>
      </c>
      <c r="E50" s="319" t="s">
        <v>43</v>
      </c>
      <c r="F50" s="320"/>
      <c r="G50" s="48">
        <v>4.6669047558312133</v>
      </c>
      <c r="H50" s="49">
        <v>7.848885271170678</v>
      </c>
      <c r="I50" s="50">
        <v>4.6669047558312133</v>
      </c>
      <c r="J50" s="51">
        <v>7.848885271170678</v>
      </c>
      <c r="K50" s="171" t="s">
        <v>78</v>
      </c>
      <c r="L50" s="167" t="s">
        <v>78</v>
      </c>
      <c r="M50" s="167" t="s">
        <v>78</v>
      </c>
      <c r="N50" s="172" t="s">
        <v>78</v>
      </c>
    </row>
    <row r="51" spans="1:14" ht="19.5" thickBot="1" x14ac:dyDescent="0.3">
      <c r="A51" s="161" t="str">
        <f t="shared" si="1"/>
        <v>UVT4085LBS 5,0x60 - PF603560R4,Rk</v>
      </c>
      <c r="B51" s="37" t="s">
        <v>17</v>
      </c>
      <c r="C51" s="43" t="s">
        <v>95</v>
      </c>
      <c r="D51" s="8" t="s">
        <v>100</v>
      </c>
      <c r="E51" s="323" t="s">
        <v>45</v>
      </c>
      <c r="F51" s="324"/>
      <c r="G51" s="52">
        <v>1.5677539191173782</v>
      </c>
      <c r="H51" s="53">
        <v>1.5677539191173782</v>
      </c>
      <c r="I51" s="54">
        <v>1.5677539191173782</v>
      </c>
      <c r="J51" s="55">
        <v>1.5677539191173782</v>
      </c>
      <c r="K51" s="171" t="s">
        <v>78</v>
      </c>
      <c r="L51" s="167" t="s">
        <v>78</v>
      </c>
      <c r="M51" s="167" t="s">
        <v>78</v>
      </c>
      <c r="N51" s="172" t="s">
        <v>78</v>
      </c>
    </row>
    <row r="52" spans="1:14" ht="19.5" thickBot="1" x14ac:dyDescent="0.3">
      <c r="A52" s="161" t="str">
        <f t="shared" si="1"/>
        <v>UVT4085LBS 5,0x70 - PF603570R1,Rk</v>
      </c>
      <c r="B52" s="37" t="s">
        <v>17</v>
      </c>
      <c r="C52" s="43" t="s">
        <v>95</v>
      </c>
      <c r="D52" s="8" t="s">
        <v>101</v>
      </c>
      <c r="E52" s="325" t="s">
        <v>35</v>
      </c>
      <c r="F52" s="326"/>
      <c r="G52" s="56">
        <v>2.0789999999999997</v>
      </c>
      <c r="H52" s="57">
        <v>2.0789999999999997</v>
      </c>
      <c r="I52" s="58">
        <v>2.0789999999999997</v>
      </c>
      <c r="J52" s="59">
        <v>2.0789999999999997</v>
      </c>
      <c r="K52" s="171" t="s">
        <v>78</v>
      </c>
      <c r="L52" s="167" t="s">
        <v>78</v>
      </c>
      <c r="M52" s="167" t="s">
        <v>78</v>
      </c>
      <c r="N52" s="172" t="s">
        <v>78</v>
      </c>
    </row>
    <row r="53" spans="1:14" ht="19.5" thickBot="1" x14ac:dyDescent="0.3">
      <c r="A53" s="161" t="str">
        <f t="shared" si="1"/>
        <v>UVT4085LBS 5,0x70 - PF603570R2,Rk</v>
      </c>
      <c r="B53" s="37" t="s">
        <v>17</v>
      </c>
      <c r="C53" s="43" t="s">
        <v>95</v>
      </c>
      <c r="D53" s="8" t="s">
        <v>101</v>
      </c>
      <c r="E53" s="323" t="s">
        <v>40</v>
      </c>
      <c r="F53" s="324"/>
      <c r="G53" s="44">
        <v>18.667619023324853</v>
      </c>
      <c r="H53" s="45">
        <v>21.582283859078441</v>
      </c>
      <c r="I53" s="46">
        <v>11.990157699488023</v>
      </c>
      <c r="J53" s="47">
        <v>11.990157699488023</v>
      </c>
      <c r="K53" s="171" t="s">
        <v>78</v>
      </c>
      <c r="L53" s="167" t="s">
        <v>78</v>
      </c>
      <c r="M53" s="167" t="s">
        <v>78</v>
      </c>
      <c r="N53" s="172" t="s">
        <v>78</v>
      </c>
    </row>
    <row r="54" spans="1:14" ht="19.5" thickBot="1" x14ac:dyDescent="0.3">
      <c r="A54" s="161" t="str">
        <f t="shared" si="1"/>
        <v>UVT4085LBS 5,0x70 - PF603570R3,Rk</v>
      </c>
      <c r="B54" s="37" t="s">
        <v>17</v>
      </c>
      <c r="C54" s="43" t="s">
        <v>95</v>
      </c>
      <c r="D54" s="8" t="s">
        <v>101</v>
      </c>
      <c r="E54" s="319" t="s">
        <v>43</v>
      </c>
      <c r="F54" s="320"/>
      <c r="G54" s="48">
        <v>4.6669047558312133</v>
      </c>
      <c r="H54" s="49">
        <v>7.848885271170678</v>
      </c>
      <c r="I54" s="50">
        <v>4.6669047558312133</v>
      </c>
      <c r="J54" s="51">
        <v>7.848885271170678</v>
      </c>
      <c r="K54" s="171" t="s">
        <v>78</v>
      </c>
      <c r="L54" s="167" t="s">
        <v>78</v>
      </c>
      <c r="M54" s="167" t="s">
        <v>78</v>
      </c>
      <c r="N54" s="172" t="s">
        <v>78</v>
      </c>
    </row>
    <row r="55" spans="1:14" ht="19.5" thickBot="1" x14ac:dyDescent="0.3">
      <c r="A55" s="162" t="str">
        <f t="shared" si="1"/>
        <v>UVT4085LBS 5,0x70 - PF603570R4,Rk</v>
      </c>
      <c r="B55" s="165" t="s">
        <v>17</v>
      </c>
      <c r="C55" s="64" t="s">
        <v>95</v>
      </c>
      <c r="D55" s="16" t="s">
        <v>101</v>
      </c>
      <c r="E55" s="327" t="s">
        <v>45</v>
      </c>
      <c r="F55" s="328"/>
      <c r="G55" s="60">
        <v>1.6358562110884767</v>
      </c>
      <c r="H55" s="61">
        <v>1.6358562110884767</v>
      </c>
      <c r="I55" s="62">
        <v>1.6358562110884767</v>
      </c>
      <c r="J55" s="63">
        <v>1.6358562110884767</v>
      </c>
      <c r="K55" s="171" t="s">
        <v>78</v>
      </c>
      <c r="L55" s="167" t="s">
        <v>78</v>
      </c>
      <c r="M55" s="167" t="s">
        <v>78</v>
      </c>
      <c r="N55" s="172" t="s">
        <v>78</v>
      </c>
    </row>
    <row r="56" spans="1:14" ht="18.75" customHeight="1" thickBot="1" x14ac:dyDescent="0.3">
      <c r="A56" s="166" t="str">
        <f t="shared" si="1"/>
        <v>UVT3070LBS 5,0x50 - PF603550R1,Rk</v>
      </c>
      <c r="B56" s="160" t="s">
        <v>11</v>
      </c>
      <c r="C56" s="164" t="s">
        <v>95</v>
      </c>
      <c r="D56" s="8" t="s">
        <v>96</v>
      </c>
      <c r="E56" s="319" t="s">
        <v>35</v>
      </c>
      <c r="F56" s="320"/>
      <c r="G56" s="168" t="s">
        <v>78</v>
      </c>
      <c r="H56" s="169" t="s">
        <v>78</v>
      </c>
      <c r="I56" s="169" t="s">
        <v>78</v>
      </c>
      <c r="J56" s="170" t="s">
        <v>78</v>
      </c>
      <c r="K56" s="39">
        <v>1.4490000000000001</v>
      </c>
      <c r="L56" s="40">
        <v>1.4490000000000001</v>
      </c>
      <c r="M56" s="41">
        <v>1.4490000000000001</v>
      </c>
      <c r="N56" s="42">
        <v>1.4490000000000001</v>
      </c>
    </row>
    <row r="57" spans="1:14" ht="19.5" thickBot="1" x14ac:dyDescent="0.3">
      <c r="A57" s="166" t="str">
        <f t="shared" si="1"/>
        <v>UVT3070LBS 5,0x50 - PF603550R2,Rk</v>
      </c>
      <c r="B57" s="160" t="s">
        <v>11</v>
      </c>
      <c r="C57" s="43" t="s">
        <v>95</v>
      </c>
      <c r="D57" s="8" t="s">
        <v>96</v>
      </c>
      <c r="E57" s="323" t="s">
        <v>40</v>
      </c>
      <c r="F57" s="324"/>
      <c r="G57" s="171" t="s">
        <v>78</v>
      </c>
      <c r="H57" s="167" t="s">
        <v>78</v>
      </c>
      <c r="I57" s="167" t="s">
        <v>78</v>
      </c>
      <c r="J57" s="172" t="s">
        <v>78</v>
      </c>
      <c r="K57" s="44">
        <v>6.7689403689948575</v>
      </c>
      <c r="L57" s="45">
        <v>9.0252538253264785</v>
      </c>
      <c r="M57" s="46">
        <v>4.5126269126632383</v>
      </c>
      <c r="N57" s="47">
        <v>6.0168358835509865</v>
      </c>
    </row>
    <row r="58" spans="1:14" ht="19.5" thickBot="1" x14ac:dyDescent="0.3">
      <c r="A58" s="166" t="str">
        <f t="shared" si="1"/>
        <v>UVT3070LBS 5,0x50 - PF603550R3,Rk</v>
      </c>
      <c r="B58" s="160" t="s">
        <v>11</v>
      </c>
      <c r="C58" s="43" t="s">
        <v>95</v>
      </c>
      <c r="D58" s="8" t="s">
        <v>96</v>
      </c>
      <c r="E58" s="319" t="s">
        <v>43</v>
      </c>
      <c r="F58" s="320"/>
      <c r="G58" s="171" t="s">
        <v>78</v>
      </c>
      <c r="H58" s="167" t="s">
        <v>78</v>
      </c>
      <c r="I58" s="167" t="s">
        <v>78</v>
      </c>
      <c r="J58" s="172" t="s">
        <v>78</v>
      </c>
      <c r="K58" s="48">
        <v>1.1281567281658096</v>
      </c>
      <c r="L58" s="49">
        <v>1.5042089708877466</v>
      </c>
      <c r="M58" s="50">
        <v>1.1281567281658096</v>
      </c>
      <c r="N58" s="51">
        <v>1.5042089708877466</v>
      </c>
    </row>
    <row r="59" spans="1:14" ht="18.75" customHeight="1" thickBot="1" x14ac:dyDescent="0.3">
      <c r="A59" s="166" t="str">
        <f t="shared" si="1"/>
        <v>UVT3070LBS 5,0x50 - PF603550R4,Rk</v>
      </c>
      <c r="B59" s="160" t="s">
        <v>11</v>
      </c>
      <c r="C59" s="43" t="s">
        <v>95</v>
      </c>
      <c r="D59" s="8" t="s">
        <v>96</v>
      </c>
      <c r="E59" s="323" t="s">
        <v>45</v>
      </c>
      <c r="F59" s="324"/>
      <c r="G59" s="171" t="s">
        <v>78</v>
      </c>
      <c r="H59" s="167" t="s">
        <v>78</v>
      </c>
      <c r="I59" s="167" t="s">
        <v>78</v>
      </c>
      <c r="J59" s="172" t="s">
        <v>78</v>
      </c>
      <c r="K59" s="52">
        <v>1.7156580119484024</v>
      </c>
      <c r="L59" s="53">
        <v>1.8129796739813153</v>
      </c>
      <c r="M59" s="54">
        <v>1.4898021960569927</v>
      </c>
      <c r="N59" s="55">
        <v>1.5743120603835614</v>
      </c>
    </row>
    <row r="60" spans="1:14" ht="19.5" thickBot="1" x14ac:dyDescent="0.3">
      <c r="A60" s="166" t="str">
        <f t="shared" si="1"/>
        <v>UVT3070LBS 5,0x60 - PF603560R1,Rk</v>
      </c>
      <c r="B60" s="160" t="s">
        <v>11</v>
      </c>
      <c r="C60" s="43" t="s">
        <v>95</v>
      </c>
      <c r="D60" s="8" t="s">
        <v>100</v>
      </c>
      <c r="E60" s="325" t="s">
        <v>35</v>
      </c>
      <c r="F60" s="326"/>
      <c r="G60" s="171" t="s">
        <v>78</v>
      </c>
      <c r="H60" s="167" t="s">
        <v>78</v>
      </c>
      <c r="I60" s="167" t="s">
        <v>78</v>
      </c>
      <c r="J60" s="172" t="s">
        <v>78</v>
      </c>
      <c r="K60" s="56">
        <v>1.764</v>
      </c>
      <c r="L60" s="57">
        <v>1.764</v>
      </c>
      <c r="M60" s="58">
        <v>1.764</v>
      </c>
      <c r="N60" s="59">
        <v>1.764</v>
      </c>
    </row>
    <row r="61" spans="1:14" ht="19.5" thickBot="1" x14ac:dyDescent="0.3">
      <c r="A61" s="166" t="str">
        <f t="shared" si="1"/>
        <v>UVT3070LBS 5,0x60 - PF603560R2,Rk</v>
      </c>
      <c r="B61" s="160" t="s">
        <v>11</v>
      </c>
      <c r="C61" s="43" t="s">
        <v>95</v>
      </c>
      <c r="D61" s="8" t="s">
        <v>100</v>
      </c>
      <c r="E61" s="323" t="s">
        <v>40</v>
      </c>
      <c r="F61" s="324"/>
      <c r="G61" s="171" t="s">
        <v>78</v>
      </c>
      <c r="H61" s="167" t="s">
        <v>78</v>
      </c>
      <c r="I61" s="167" t="s">
        <v>78</v>
      </c>
      <c r="J61" s="172" t="s">
        <v>78</v>
      </c>
      <c r="K61" s="44">
        <v>6.7689403689948575</v>
      </c>
      <c r="L61" s="45">
        <v>9.0252538253264785</v>
      </c>
      <c r="M61" s="46">
        <v>4.5126269126632383</v>
      </c>
      <c r="N61" s="47">
        <v>6.0168358835509865</v>
      </c>
    </row>
    <row r="62" spans="1:14" ht="19.5" thickBot="1" x14ac:dyDescent="0.3">
      <c r="A62" s="166" t="str">
        <f t="shared" si="1"/>
        <v>UVT3070LBS 5,0x60 - PF603560R3,Rk</v>
      </c>
      <c r="B62" s="160" t="s">
        <v>11</v>
      </c>
      <c r="C62" s="43" t="s">
        <v>95</v>
      </c>
      <c r="D62" s="8" t="s">
        <v>100</v>
      </c>
      <c r="E62" s="319" t="s">
        <v>43</v>
      </c>
      <c r="F62" s="320"/>
      <c r="G62" s="171" t="s">
        <v>78</v>
      </c>
      <c r="H62" s="167" t="s">
        <v>78</v>
      </c>
      <c r="I62" s="167" t="s">
        <v>78</v>
      </c>
      <c r="J62" s="172" t="s">
        <v>78</v>
      </c>
      <c r="K62" s="48">
        <v>1.1281567281658096</v>
      </c>
      <c r="L62" s="49">
        <v>1.5042089708877466</v>
      </c>
      <c r="M62" s="50">
        <v>1.1281567281658096</v>
      </c>
      <c r="N62" s="51">
        <v>1.5042089708877466</v>
      </c>
    </row>
    <row r="63" spans="1:14" ht="19.5" thickBot="1" x14ac:dyDescent="0.3">
      <c r="A63" s="166" t="str">
        <f t="shared" si="1"/>
        <v>UVT3070LBS 5,0x60 - PF603560R4,Rk</v>
      </c>
      <c r="B63" s="160" t="s">
        <v>11</v>
      </c>
      <c r="C63" s="43" t="s">
        <v>95</v>
      </c>
      <c r="D63" s="8" t="s">
        <v>100</v>
      </c>
      <c r="E63" s="323" t="s">
        <v>45</v>
      </c>
      <c r="F63" s="324"/>
      <c r="G63" s="171" t="s">
        <v>78</v>
      </c>
      <c r="H63" s="167" t="s">
        <v>78</v>
      </c>
      <c r="I63" s="167" t="s">
        <v>78</v>
      </c>
      <c r="J63" s="172" t="s">
        <v>78</v>
      </c>
      <c r="K63" s="52">
        <v>1.7156580119484024</v>
      </c>
      <c r="L63" s="53">
        <v>1.8129796739813153</v>
      </c>
      <c r="M63" s="54">
        <v>1.4898021960569927</v>
      </c>
      <c r="N63" s="55">
        <v>1.5743120603835614</v>
      </c>
    </row>
    <row r="64" spans="1:14" ht="19.5" thickBot="1" x14ac:dyDescent="0.3">
      <c r="A64" s="166" t="str">
        <f t="shared" si="1"/>
        <v>UVT3070LBS 5,0x70 - PF603570R1,Rk</v>
      </c>
      <c r="B64" s="160" t="s">
        <v>11</v>
      </c>
      <c r="C64" s="43" t="s">
        <v>95</v>
      </c>
      <c r="D64" s="8" t="s">
        <v>101</v>
      </c>
      <c r="E64" s="325" t="s">
        <v>35</v>
      </c>
      <c r="F64" s="326"/>
      <c r="G64" s="171" t="s">
        <v>78</v>
      </c>
      <c r="H64" s="167" t="s">
        <v>78</v>
      </c>
      <c r="I64" s="167" t="s">
        <v>78</v>
      </c>
      <c r="J64" s="172" t="s">
        <v>78</v>
      </c>
      <c r="K64" s="56">
        <v>2.0789999999999997</v>
      </c>
      <c r="L64" s="57">
        <v>2.0789999999999997</v>
      </c>
      <c r="M64" s="58">
        <v>2.0789999999999997</v>
      </c>
      <c r="N64" s="59">
        <v>2.0789999999999997</v>
      </c>
    </row>
    <row r="65" spans="1:14" ht="19.5" thickBot="1" x14ac:dyDescent="0.3">
      <c r="A65" s="166" t="str">
        <f t="shared" si="1"/>
        <v>UVT3070LBS 5,0x70 - PF603570R2,Rk</v>
      </c>
      <c r="B65" s="160" t="s">
        <v>11</v>
      </c>
      <c r="C65" s="43" t="s">
        <v>95</v>
      </c>
      <c r="D65" s="8" t="s">
        <v>101</v>
      </c>
      <c r="E65" s="323" t="s">
        <v>40</v>
      </c>
      <c r="F65" s="324"/>
      <c r="G65" s="171" t="s">
        <v>78</v>
      </c>
      <c r="H65" s="167" t="s">
        <v>78</v>
      </c>
      <c r="I65" s="167" t="s">
        <v>78</v>
      </c>
      <c r="J65" s="172" t="s">
        <v>78</v>
      </c>
      <c r="K65" s="44">
        <v>6.7689403689948575</v>
      </c>
      <c r="L65" s="45">
        <v>9.0252538253264785</v>
      </c>
      <c r="M65" s="46">
        <v>4.5126269126632383</v>
      </c>
      <c r="N65" s="47">
        <v>6.0168358835509865</v>
      </c>
    </row>
    <row r="66" spans="1:14" ht="19.5" thickBot="1" x14ac:dyDescent="0.3">
      <c r="A66" s="166" t="str">
        <f t="shared" si="1"/>
        <v>UVT3070LBS 5,0x70 - PF603570R3,Rk</v>
      </c>
      <c r="B66" s="160" t="s">
        <v>11</v>
      </c>
      <c r="C66" s="43" t="s">
        <v>95</v>
      </c>
      <c r="D66" s="8" t="s">
        <v>101</v>
      </c>
      <c r="E66" s="319" t="s">
        <v>43</v>
      </c>
      <c r="F66" s="320"/>
      <c r="G66" s="171" t="s">
        <v>78</v>
      </c>
      <c r="H66" s="167" t="s">
        <v>78</v>
      </c>
      <c r="I66" s="167" t="s">
        <v>78</v>
      </c>
      <c r="J66" s="172" t="s">
        <v>78</v>
      </c>
      <c r="K66" s="48">
        <v>1.1281567281658096</v>
      </c>
      <c r="L66" s="49">
        <v>1.5042089708877466</v>
      </c>
      <c r="M66" s="50">
        <v>1.1281567281658096</v>
      </c>
      <c r="N66" s="51">
        <v>1.5042089708877466</v>
      </c>
    </row>
    <row r="67" spans="1:14" ht="19.5" thickBot="1" x14ac:dyDescent="0.3">
      <c r="A67" s="166" t="str">
        <f t="shared" si="1"/>
        <v>UVT3070LBS 5,0x70 - PF603570R4,Rk</v>
      </c>
      <c r="B67" s="163" t="s">
        <v>11</v>
      </c>
      <c r="C67" s="43" t="s">
        <v>95</v>
      </c>
      <c r="D67" s="8" t="s">
        <v>101</v>
      </c>
      <c r="E67" s="323" t="s">
        <v>45</v>
      </c>
      <c r="F67" s="324"/>
      <c r="G67" s="171" t="s">
        <v>78</v>
      </c>
      <c r="H67" s="167" t="s">
        <v>78</v>
      </c>
      <c r="I67" s="167" t="s">
        <v>78</v>
      </c>
      <c r="J67" s="172" t="s">
        <v>78</v>
      </c>
      <c r="K67" s="60">
        <v>1.7156580119484024</v>
      </c>
      <c r="L67" s="61">
        <v>1.8129796739813153</v>
      </c>
      <c r="M67" s="62">
        <v>1.4898021960569927</v>
      </c>
      <c r="N67" s="63">
        <v>1.5743120603835614</v>
      </c>
    </row>
    <row r="68" spans="1:14" ht="19.5" thickBot="1" x14ac:dyDescent="0.3">
      <c r="A68" s="67" t="str">
        <f>CONCATENATE(B68,D68,E68)</f>
        <v>UVC60115LBS 5,0x50 - PF603550R1,Rk</v>
      </c>
      <c r="B68" s="24" t="s">
        <v>24</v>
      </c>
      <c r="C68" s="68" t="s">
        <v>95</v>
      </c>
      <c r="D68" s="7" t="s">
        <v>96</v>
      </c>
      <c r="E68" s="321" t="s">
        <v>35</v>
      </c>
      <c r="F68" s="322"/>
      <c r="G68" s="69" t="s">
        <v>78</v>
      </c>
      <c r="H68" s="70" t="s">
        <v>78</v>
      </c>
      <c r="I68" s="69" t="s">
        <v>78</v>
      </c>
      <c r="J68" s="70" t="s">
        <v>78</v>
      </c>
      <c r="K68" s="168" t="s">
        <v>78</v>
      </c>
      <c r="L68" s="169" t="s">
        <v>78</v>
      </c>
      <c r="M68" s="169" t="s">
        <v>78</v>
      </c>
      <c r="N68" s="170" t="s">
        <v>78</v>
      </c>
    </row>
    <row r="69" spans="1:14" ht="19.5" thickBot="1" x14ac:dyDescent="0.3">
      <c r="A69" s="67" t="str">
        <f t="shared" ref="A69:A103" si="2">CONCATENATE(B69,D69,E69)</f>
        <v>UVC60115LBS 5,0x50 - PF603550R2,Rk</v>
      </c>
      <c r="B69" s="3" t="s">
        <v>24</v>
      </c>
      <c r="C69" s="68" t="s">
        <v>95</v>
      </c>
      <c r="D69" s="2" t="s">
        <v>96</v>
      </c>
      <c r="E69" s="323" t="s">
        <v>40</v>
      </c>
      <c r="F69" s="324"/>
      <c r="G69" s="71">
        <v>9.7799999999999994</v>
      </c>
      <c r="H69" s="72">
        <v>9.7799999999999994</v>
      </c>
      <c r="I69" s="73" t="s">
        <v>78</v>
      </c>
      <c r="J69" s="74" t="s">
        <v>78</v>
      </c>
      <c r="K69" s="171" t="s">
        <v>78</v>
      </c>
      <c r="L69" s="167" t="s">
        <v>78</v>
      </c>
      <c r="M69" s="167" t="s">
        <v>78</v>
      </c>
      <c r="N69" s="172" t="s">
        <v>78</v>
      </c>
    </row>
    <row r="70" spans="1:14" ht="19.5" thickBot="1" x14ac:dyDescent="0.3">
      <c r="A70" s="67" t="str">
        <f t="shared" si="2"/>
        <v>UVC60115LBS 5,0x50 - PF603550R3,Rk</v>
      </c>
      <c r="B70" s="3" t="s">
        <v>24</v>
      </c>
      <c r="C70" s="68" t="s">
        <v>95</v>
      </c>
      <c r="D70" s="2" t="s">
        <v>96</v>
      </c>
      <c r="E70" s="319" t="s">
        <v>43</v>
      </c>
      <c r="F70" s="320"/>
      <c r="G70" s="73" t="s">
        <v>78</v>
      </c>
      <c r="H70" s="74" t="s">
        <v>78</v>
      </c>
      <c r="I70" s="73" t="s">
        <v>78</v>
      </c>
      <c r="J70" s="74" t="s">
        <v>78</v>
      </c>
      <c r="K70" s="171" t="s">
        <v>78</v>
      </c>
      <c r="L70" s="167" t="s">
        <v>78</v>
      </c>
      <c r="M70" s="167" t="s">
        <v>78</v>
      </c>
      <c r="N70" s="172" t="s">
        <v>78</v>
      </c>
    </row>
    <row r="71" spans="1:14" ht="19.5" thickBot="1" x14ac:dyDescent="0.3">
      <c r="A71" s="67" t="str">
        <f t="shared" si="2"/>
        <v>UVC60115LBS 5,0x50 - PF603550R4,Rk</v>
      </c>
      <c r="B71" s="5" t="s">
        <v>24</v>
      </c>
      <c r="C71" s="68" t="s">
        <v>95</v>
      </c>
      <c r="D71" s="25" t="s">
        <v>96</v>
      </c>
      <c r="E71" s="327" t="s">
        <v>45</v>
      </c>
      <c r="F71" s="328"/>
      <c r="G71" s="75" t="s">
        <v>78</v>
      </c>
      <c r="H71" s="76" t="s">
        <v>78</v>
      </c>
      <c r="I71" s="75" t="s">
        <v>78</v>
      </c>
      <c r="J71" s="76" t="s">
        <v>78</v>
      </c>
      <c r="K71" s="171" t="s">
        <v>78</v>
      </c>
      <c r="L71" s="167" t="s">
        <v>78</v>
      </c>
      <c r="M71" s="167" t="s">
        <v>78</v>
      </c>
      <c r="N71" s="172" t="s">
        <v>78</v>
      </c>
    </row>
    <row r="72" spans="1:14" ht="18.75" customHeight="1" thickBot="1" x14ac:dyDescent="0.3">
      <c r="A72" s="67" t="str">
        <f t="shared" si="2"/>
        <v>UVC60115LBS 5,0x60 - PF603560R1,Rk</v>
      </c>
      <c r="B72" s="24" t="s">
        <v>24</v>
      </c>
      <c r="C72" s="68" t="s">
        <v>95</v>
      </c>
      <c r="D72" s="7" t="s">
        <v>100</v>
      </c>
      <c r="E72" s="321" t="s">
        <v>35</v>
      </c>
      <c r="F72" s="322"/>
      <c r="G72" s="69" t="s">
        <v>78</v>
      </c>
      <c r="H72" s="70" t="s">
        <v>78</v>
      </c>
      <c r="I72" s="69" t="s">
        <v>78</v>
      </c>
      <c r="J72" s="70" t="s">
        <v>78</v>
      </c>
      <c r="K72" s="171" t="s">
        <v>78</v>
      </c>
      <c r="L72" s="167" t="s">
        <v>78</v>
      </c>
      <c r="M72" s="167" t="s">
        <v>78</v>
      </c>
      <c r="N72" s="172" t="s">
        <v>78</v>
      </c>
    </row>
    <row r="73" spans="1:14" ht="18.75" customHeight="1" thickBot="1" x14ac:dyDescent="0.3">
      <c r="A73" s="67" t="str">
        <f t="shared" si="2"/>
        <v>UVC60115LBS 5,0x60 - PF603560R2,Rk</v>
      </c>
      <c r="B73" s="3" t="s">
        <v>24</v>
      </c>
      <c r="C73" s="68" t="s">
        <v>95</v>
      </c>
      <c r="D73" s="2" t="s">
        <v>100</v>
      </c>
      <c r="E73" s="323" t="s">
        <v>40</v>
      </c>
      <c r="F73" s="324"/>
      <c r="G73" s="71">
        <v>9.7799999999999994</v>
      </c>
      <c r="H73" s="72">
        <v>9.7799999999999994</v>
      </c>
      <c r="I73" s="73" t="s">
        <v>78</v>
      </c>
      <c r="J73" s="74" t="s">
        <v>78</v>
      </c>
      <c r="K73" s="171" t="s">
        <v>78</v>
      </c>
      <c r="L73" s="167" t="s">
        <v>78</v>
      </c>
      <c r="M73" s="167" t="s">
        <v>78</v>
      </c>
      <c r="N73" s="172" t="s">
        <v>78</v>
      </c>
    </row>
    <row r="74" spans="1:14" ht="18.75" customHeight="1" thickBot="1" x14ac:dyDescent="0.3">
      <c r="A74" s="67" t="str">
        <f t="shared" si="2"/>
        <v>UVC60115LBS 5,0x60 - PF603560R3,Rk</v>
      </c>
      <c r="B74" s="3" t="s">
        <v>24</v>
      </c>
      <c r="C74" s="68" t="s">
        <v>95</v>
      </c>
      <c r="D74" s="2" t="s">
        <v>100</v>
      </c>
      <c r="E74" s="319" t="s">
        <v>43</v>
      </c>
      <c r="F74" s="320"/>
      <c r="G74" s="73" t="s">
        <v>78</v>
      </c>
      <c r="H74" s="74" t="s">
        <v>78</v>
      </c>
      <c r="I74" s="73" t="s">
        <v>78</v>
      </c>
      <c r="J74" s="74" t="s">
        <v>78</v>
      </c>
      <c r="K74" s="171" t="s">
        <v>78</v>
      </c>
      <c r="L74" s="167" t="s">
        <v>78</v>
      </c>
      <c r="M74" s="167" t="s">
        <v>78</v>
      </c>
      <c r="N74" s="172" t="s">
        <v>78</v>
      </c>
    </row>
    <row r="75" spans="1:14" ht="18.75" customHeight="1" thickBot="1" x14ac:dyDescent="0.3">
      <c r="A75" s="67" t="str">
        <f t="shared" si="2"/>
        <v>UVC60115LBS 5,0x60 - PF603560R4,Rk</v>
      </c>
      <c r="B75" s="5" t="s">
        <v>24</v>
      </c>
      <c r="C75" s="68" t="s">
        <v>95</v>
      </c>
      <c r="D75" s="25" t="s">
        <v>100</v>
      </c>
      <c r="E75" s="327" t="s">
        <v>45</v>
      </c>
      <c r="F75" s="328"/>
      <c r="G75" s="75" t="s">
        <v>78</v>
      </c>
      <c r="H75" s="76" t="s">
        <v>78</v>
      </c>
      <c r="I75" s="75" t="s">
        <v>78</v>
      </c>
      <c r="J75" s="76" t="s">
        <v>78</v>
      </c>
      <c r="K75" s="171" t="s">
        <v>78</v>
      </c>
      <c r="L75" s="167" t="s">
        <v>78</v>
      </c>
      <c r="M75" s="167" t="s">
        <v>78</v>
      </c>
      <c r="N75" s="172" t="s">
        <v>78</v>
      </c>
    </row>
    <row r="76" spans="1:14" ht="19.5" thickBot="1" x14ac:dyDescent="0.3">
      <c r="A76" s="67" t="str">
        <f t="shared" si="2"/>
        <v>UVC60115LBS 5,0x70 - PF603570R1,Rk</v>
      </c>
      <c r="B76" s="3" t="s">
        <v>24</v>
      </c>
      <c r="C76" s="68" t="s">
        <v>95</v>
      </c>
      <c r="D76" s="2" t="s">
        <v>101</v>
      </c>
      <c r="E76" s="319" t="s">
        <v>35</v>
      </c>
      <c r="F76" s="320"/>
      <c r="G76" s="69" t="s">
        <v>78</v>
      </c>
      <c r="H76" s="70" t="s">
        <v>78</v>
      </c>
      <c r="I76" s="69" t="s">
        <v>78</v>
      </c>
      <c r="J76" s="70" t="s">
        <v>78</v>
      </c>
      <c r="K76" s="171" t="s">
        <v>78</v>
      </c>
      <c r="L76" s="167" t="s">
        <v>78</v>
      </c>
      <c r="M76" s="167" t="s">
        <v>78</v>
      </c>
      <c r="N76" s="172" t="s">
        <v>78</v>
      </c>
    </row>
    <row r="77" spans="1:14" ht="19.5" thickBot="1" x14ac:dyDescent="0.3">
      <c r="A77" s="67" t="str">
        <f t="shared" si="2"/>
        <v>UVC60115LBS 5,0x70 - PF603570R2,Rk</v>
      </c>
      <c r="B77" s="3" t="s">
        <v>24</v>
      </c>
      <c r="C77" s="68" t="s">
        <v>95</v>
      </c>
      <c r="D77" s="2" t="s">
        <v>101</v>
      </c>
      <c r="E77" s="323" t="s">
        <v>40</v>
      </c>
      <c r="F77" s="324"/>
      <c r="G77" s="71">
        <v>9.7799999999999994</v>
      </c>
      <c r="H77" s="72">
        <v>9.7799999999999994</v>
      </c>
      <c r="I77" s="73" t="s">
        <v>78</v>
      </c>
      <c r="J77" s="74" t="s">
        <v>78</v>
      </c>
      <c r="K77" s="171" t="s">
        <v>78</v>
      </c>
      <c r="L77" s="167" t="s">
        <v>78</v>
      </c>
      <c r="M77" s="167" t="s">
        <v>78</v>
      </c>
      <c r="N77" s="172" t="s">
        <v>78</v>
      </c>
    </row>
    <row r="78" spans="1:14" ht="19.5" thickBot="1" x14ac:dyDescent="0.3">
      <c r="A78" s="67" t="str">
        <f t="shared" si="2"/>
        <v>UVC60115LBS 5,0x70 - PF603570R3,Rk</v>
      </c>
      <c r="B78" s="3" t="s">
        <v>24</v>
      </c>
      <c r="C78" s="68" t="s">
        <v>95</v>
      </c>
      <c r="D78" s="2" t="s">
        <v>101</v>
      </c>
      <c r="E78" s="319" t="s">
        <v>43</v>
      </c>
      <c r="F78" s="320"/>
      <c r="G78" s="73" t="s">
        <v>78</v>
      </c>
      <c r="H78" s="74" t="s">
        <v>78</v>
      </c>
      <c r="I78" s="73" t="s">
        <v>78</v>
      </c>
      <c r="J78" s="74" t="s">
        <v>78</v>
      </c>
      <c r="K78" s="171" t="s">
        <v>78</v>
      </c>
      <c r="L78" s="167" t="s">
        <v>78</v>
      </c>
      <c r="M78" s="167" t="s">
        <v>78</v>
      </c>
      <c r="N78" s="172" t="s">
        <v>78</v>
      </c>
    </row>
    <row r="79" spans="1:14" ht="19.5" thickBot="1" x14ac:dyDescent="0.3">
      <c r="A79" s="67" t="str">
        <f t="shared" si="2"/>
        <v>UVC60115LBS 5,0x70 - PF603570R4,Rk</v>
      </c>
      <c r="B79" s="5" t="s">
        <v>24</v>
      </c>
      <c r="C79" s="68" t="s">
        <v>95</v>
      </c>
      <c r="D79" s="25" t="s">
        <v>101</v>
      </c>
      <c r="E79" s="323" t="s">
        <v>45</v>
      </c>
      <c r="F79" s="324"/>
      <c r="G79" s="75" t="s">
        <v>78</v>
      </c>
      <c r="H79" s="76" t="s">
        <v>78</v>
      </c>
      <c r="I79" s="75" t="s">
        <v>78</v>
      </c>
      <c r="J79" s="76" t="s">
        <v>78</v>
      </c>
      <c r="K79" s="171" t="s">
        <v>78</v>
      </c>
      <c r="L79" s="167" t="s">
        <v>78</v>
      </c>
      <c r="M79" s="167" t="s">
        <v>78</v>
      </c>
      <c r="N79" s="172" t="s">
        <v>78</v>
      </c>
    </row>
    <row r="80" spans="1:14" ht="19.5" thickBot="1" x14ac:dyDescent="0.3">
      <c r="A80" s="67" t="str">
        <f t="shared" si="2"/>
        <v>UVC60160LBS 5,0x50 - PF603550R1,Rk</v>
      </c>
      <c r="B80" s="3" t="s">
        <v>25</v>
      </c>
      <c r="C80" s="68" t="s">
        <v>95</v>
      </c>
      <c r="D80" s="2" t="s">
        <v>96</v>
      </c>
      <c r="E80" s="325" t="s">
        <v>35</v>
      </c>
      <c r="F80" s="326"/>
      <c r="G80" s="69" t="s">
        <v>78</v>
      </c>
      <c r="H80" s="70" t="s">
        <v>78</v>
      </c>
      <c r="I80" s="69" t="s">
        <v>78</v>
      </c>
      <c r="J80" s="70" t="s">
        <v>78</v>
      </c>
      <c r="K80" s="171" t="s">
        <v>78</v>
      </c>
      <c r="L80" s="167" t="s">
        <v>78</v>
      </c>
      <c r="M80" s="167" t="s">
        <v>78</v>
      </c>
      <c r="N80" s="172" t="s">
        <v>78</v>
      </c>
    </row>
    <row r="81" spans="1:14" ht="19.5" thickBot="1" x14ac:dyDescent="0.3">
      <c r="A81" s="67" t="str">
        <f t="shared" si="2"/>
        <v>UVC60160LBS 5,0x50 - PF603550R2,Rk</v>
      </c>
      <c r="B81" s="3" t="s">
        <v>25</v>
      </c>
      <c r="C81" s="68" t="s">
        <v>95</v>
      </c>
      <c r="D81" s="2" t="s">
        <v>96</v>
      </c>
      <c r="E81" s="323" t="s">
        <v>40</v>
      </c>
      <c r="F81" s="324"/>
      <c r="G81" s="71">
        <v>12.23</v>
      </c>
      <c r="H81" s="72">
        <v>12.23</v>
      </c>
      <c r="I81" s="73" t="s">
        <v>78</v>
      </c>
      <c r="J81" s="74" t="s">
        <v>78</v>
      </c>
      <c r="K81" s="171" t="s">
        <v>78</v>
      </c>
      <c r="L81" s="167" t="s">
        <v>78</v>
      </c>
      <c r="M81" s="167" t="s">
        <v>78</v>
      </c>
      <c r="N81" s="172" t="s">
        <v>78</v>
      </c>
    </row>
    <row r="82" spans="1:14" ht="19.5" thickBot="1" x14ac:dyDescent="0.3">
      <c r="A82" s="67" t="str">
        <f t="shared" si="2"/>
        <v>UVC60160LBS 5,0x50 - PF603550R3,Rk</v>
      </c>
      <c r="B82" s="3" t="s">
        <v>25</v>
      </c>
      <c r="C82" s="68" t="s">
        <v>95</v>
      </c>
      <c r="D82" s="2" t="s">
        <v>96</v>
      </c>
      <c r="E82" s="319" t="s">
        <v>43</v>
      </c>
      <c r="F82" s="320"/>
      <c r="G82" s="73" t="s">
        <v>78</v>
      </c>
      <c r="H82" s="74" t="s">
        <v>78</v>
      </c>
      <c r="I82" s="73" t="s">
        <v>78</v>
      </c>
      <c r="J82" s="74" t="s">
        <v>78</v>
      </c>
      <c r="K82" s="171" t="s">
        <v>78</v>
      </c>
      <c r="L82" s="167" t="s">
        <v>78</v>
      </c>
      <c r="M82" s="167" t="s">
        <v>78</v>
      </c>
      <c r="N82" s="172" t="s">
        <v>78</v>
      </c>
    </row>
    <row r="83" spans="1:14" ht="19.5" thickBot="1" x14ac:dyDescent="0.3">
      <c r="A83" s="67" t="str">
        <f t="shared" si="2"/>
        <v>UVC60160LBS 5,0x50 - PF603550R4,Rk</v>
      </c>
      <c r="B83" s="3" t="s">
        <v>25</v>
      </c>
      <c r="C83" s="68" t="s">
        <v>95</v>
      </c>
      <c r="D83" s="2" t="s">
        <v>96</v>
      </c>
      <c r="E83" s="323" t="s">
        <v>45</v>
      </c>
      <c r="F83" s="324"/>
      <c r="G83" s="75" t="s">
        <v>78</v>
      </c>
      <c r="H83" s="76" t="s">
        <v>78</v>
      </c>
      <c r="I83" s="75" t="s">
        <v>78</v>
      </c>
      <c r="J83" s="76" t="s">
        <v>78</v>
      </c>
      <c r="K83" s="171" t="s">
        <v>78</v>
      </c>
      <c r="L83" s="167" t="s">
        <v>78</v>
      </c>
      <c r="M83" s="167" t="s">
        <v>78</v>
      </c>
      <c r="N83" s="172" t="s">
        <v>78</v>
      </c>
    </row>
    <row r="84" spans="1:14" ht="19.5" thickBot="1" x14ac:dyDescent="0.3">
      <c r="A84" s="67" t="str">
        <f t="shared" si="2"/>
        <v>UVC60160LBS 5,0x60 - PF603560R1,Rk</v>
      </c>
      <c r="B84" s="24" t="s">
        <v>25</v>
      </c>
      <c r="C84" s="68" t="s">
        <v>95</v>
      </c>
      <c r="D84" s="7" t="s">
        <v>100</v>
      </c>
      <c r="E84" s="321" t="s">
        <v>35</v>
      </c>
      <c r="F84" s="322"/>
      <c r="G84" s="69" t="s">
        <v>78</v>
      </c>
      <c r="H84" s="70" t="s">
        <v>78</v>
      </c>
      <c r="I84" s="69" t="s">
        <v>78</v>
      </c>
      <c r="J84" s="70" t="s">
        <v>78</v>
      </c>
      <c r="K84" s="171" t="s">
        <v>78</v>
      </c>
      <c r="L84" s="167" t="s">
        <v>78</v>
      </c>
      <c r="M84" s="167" t="s">
        <v>78</v>
      </c>
      <c r="N84" s="172" t="s">
        <v>78</v>
      </c>
    </row>
    <row r="85" spans="1:14" ht="19.5" thickBot="1" x14ac:dyDescent="0.3">
      <c r="A85" s="67" t="str">
        <f t="shared" si="2"/>
        <v>UVC60160LBS 5,0x60 - PF603560R2,Rk</v>
      </c>
      <c r="B85" s="3" t="s">
        <v>25</v>
      </c>
      <c r="C85" s="68" t="s">
        <v>95</v>
      </c>
      <c r="D85" s="2" t="s">
        <v>100</v>
      </c>
      <c r="E85" s="323" t="s">
        <v>40</v>
      </c>
      <c r="F85" s="324"/>
      <c r="G85" s="71">
        <v>12.23</v>
      </c>
      <c r="H85" s="72">
        <v>12.23</v>
      </c>
      <c r="I85" s="73" t="s">
        <v>78</v>
      </c>
      <c r="J85" s="74" t="s">
        <v>78</v>
      </c>
      <c r="K85" s="171" t="s">
        <v>78</v>
      </c>
      <c r="L85" s="167" t="s">
        <v>78</v>
      </c>
      <c r="M85" s="167" t="s">
        <v>78</v>
      </c>
      <c r="N85" s="172" t="s">
        <v>78</v>
      </c>
    </row>
    <row r="86" spans="1:14" ht="19.5" thickBot="1" x14ac:dyDescent="0.3">
      <c r="A86" s="67" t="str">
        <f t="shared" si="2"/>
        <v>UVC60160LBS 5,0x60 - PF603560R3,Rk</v>
      </c>
      <c r="B86" s="3" t="s">
        <v>25</v>
      </c>
      <c r="C86" s="68" t="s">
        <v>95</v>
      </c>
      <c r="D86" s="2" t="s">
        <v>100</v>
      </c>
      <c r="E86" s="319" t="s">
        <v>43</v>
      </c>
      <c r="F86" s="320"/>
      <c r="G86" s="73" t="s">
        <v>78</v>
      </c>
      <c r="H86" s="74" t="s">
        <v>78</v>
      </c>
      <c r="I86" s="73" t="s">
        <v>78</v>
      </c>
      <c r="J86" s="74" t="s">
        <v>78</v>
      </c>
      <c r="K86" s="171" t="s">
        <v>78</v>
      </c>
      <c r="L86" s="167" t="s">
        <v>78</v>
      </c>
      <c r="M86" s="167" t="s">
        <v>78</v>
      </c>
      <c r="N86" s="172" t="s">
        <v>78</v>
      </c>
    </row>
    <row r="87" spans="1:14" ht="19.5" thickBot="1" x14ac:dyDescent="0.3">
      <c r="A87" s="67" t="str">
        <f t="shared" si="2"/>
        <v>UVC60160LBS 5,0x60 - PF603560R4,Rk</v>
      </c>
      <c r="B87" s="5" t="s">
        <v>25</v>
      </c>
      <c r="C87" s="68" t="s">
        <v>95</v>
      </c>
      <c r="D87" s="25" t="s">
        <v>100</v>
      </c>
      <c r="E87" s="327" t="s">
        <v>45</v>
      </c>
      <c r="F87" s="328"/>
      <c r="G87" s="75" t="s">
        <v>78</v>
      </c>
      <c r="H87" s="76" t="s">
        <v>78</v>
      </c>
      <c r="I87" s="75" t="s">
        <v>78</v>
      </c>
      <c r="J87" s="76" t="s">
        <v>78</v>
      </c>
      <c r="K87" s="171" t="s">
        <v>78</v>
      </c>
      <c r="L87" s="167" t="s">
        <v>78</v>
      </c>
      <c r="M87" s="167" t="s">
        <v>78</v>
      </c>
      <c r="N87" s="172" t="s">
        <v>78</v>
      </c>
    </row>
    <row r="88" spans="1:14" ht="19.5" thickBot="1" x14ac:dyDescent="0.3">
      <c r="A88" s="67" t="str">
        <f t="shared" si="2"/>
        <v>UVC60160LBS 5,0x70 - PF603570R1,Rk</v>
      </c>
      <c r="B88" s="24" t="s">
        <v>25</v>
      </c>
      <c r="C88" s="68" t="s">
        <v>95</v>
      </c>
      <c r="D88" s="7" t="s">
        <v>101</v>
      </c>
      <c r="E88" s="321" t="s">
        <v>35</v>
      </c>
      <c r="F88" s="322"/>
      <c r="G88" s="69" t="s">
        <v>78</v>
      </c>
      <c r="H88" s="70" t="s">
        <v>78</v>
      </c>
      <c r="I88" s="69" t="s">
        <v>78</v>
      </c>
      <c r="J88" s="70" t="s">
        <v>78</v>
      </c>
      <c r="K88" s="171" t="s">
        <v>78</v>
      </c>
      <c r="L88" s="167" t="s">
        <v>78</v>
      </c>
      <c r="M88" s="167" t="s">
        <v>78</v>
      </c>
      <c r="N88" s="172" t="s">
        <v>78</v>
      </c>
    </row>
    <row r="89" spans="1:14" ht="19.5" thickBot="1" x14ac:dyDescent="0.3">
      <c r="A89" s="67" t="str">
        <f t="shared" si="2"/>
        <v>UVC60160LBS 5,0x70 - PF603570R2,Rk</v>
      </c>
      <c r="B89" s="3" t="s">
        <v>25</v>
      </c>
      <c r="C89" s="68" t="s">
        <v>95</v>
      </c>
      <c r="D89" s="2" t="s">
        <v>101</v>
      </c>
      <c r="E89" s="323" t="s">
        <v>40</v>
      </c>
      <c r="F89" s="324"/>
      <c r="G89" s="71">
        <v>12.23</v>
      </c>
      <c r="H89" s="72">
        <v>12.23</v>
      </c>
      <c r="I89" s="73" t="s">
        <v>78</v>
      </c>
      <c r="J89" s="74" t="s">
        <v>78</v>
      </c>
      <c r="K89" s="171" t="s">
        <v>78</v>
      </c>
      <c r="L89" s="167" t="s">
        <v>78</v>
      </c>
      <c r="M89" s="167" t="s">
        <v>78</v>
      </c>
      <c r="N89" s="172" t="s">
        <v>78</v>
      </c>
    </row>
    <row r="90" spans="1:14" ht="19.5" thickBot="1" x14ac:dyDescent="0.3">
      <c r="A90" s="67" t="str">
        <f t="shared" si="2"/>
        <v>UVC60160LBS 5,0x70 - PF603570R3,Rk</v>
      </c>
      <c r="B90" s="3" t="s">
        <v>25</v>
      </c>
      <c r="C90" s="68" t="s">
        <v>95</v>
      </c>
      <c r="D90" s="2" t="s">
        <v>101</v>
      </c>
      <c r="E90" s="319" t="s">
        <v>43</v>
      </c>
      <c r="F90" s="320"/>
      <c r="G90" s="73" t="s">
        <v>78</v>
      </c>
      <c r="H90" s="74" t="s">
        <v>78</v>
      </c>
      <c r="I90" s="73" t="s">
        <v>78</v>
      </c>
      <c r="J90" s="74" t="s">
        <v>78</v>
      </c>
      <c r="K90" s="171" t="s">
        <v>78</v>
      </c>
      <c r="L90" s="167" t="s">
        <v>78</v>
      </c>
      <c r="M90" s="167" t="s">
        <v>78</v>
      </c>
      <c r="N90" s="172" t="s">
        <v>78</v>
      </c>
    </row>
    <row r="91" spans="1:14" ht="19.5" thickBot="1" x14ac:dyDescent="0.3">
      <c r="A91" s="67" t="str">
        <f t="shared" si="2"/>
        <v>UVC60160LBS 5,0x70 - PF603570R4,Rk</v>
      </c>
      <c r="B91" s="5" t="s">
        <v>25</v>
      </c>
      <c r="C91" s="68" t="s">
        <v>95</v>
      </c>
      <c r="D91" s="25" t="s">
        <v>101</v>
      </c>
      <c r="E91" s="327" t="s">
        <v>45</v>
      </c>
      <c r="F91" s="328"/>
      <c r="G91" s="75" t="s">
        <v>78</v>
      </c>
      <c r="H91" s="76" t="s">
        <v>78</v>
      </c>
      <c r="I91" s="75" t="s">
        <v>78</v>
      </c>
      <c r="J91" s="76" t="s">
        <v>78</v>
      </c>
      <c r="K91" s="171" t="s">
        <v>78</v>
      </c>
      <c r="L91" s="167" t="s">
        <v>78</v>
      </c>
      <c r="M91" s="167" t="s">
        <v>78</v>
      </c>
      <c r="N91" s="172" t="s">
        <v>78</v>
      </c>
    </row>
    <row r="92" spans="1:14" ht="19.5" thickBot="1" x14ac:dyDescent="0.3">
      <c r="A92" s="67" t="str">
        <f t="shared" si="2"/>
        <v>UVC60215LBS 5,0x50 - PF603550R1,Rk</v>
      </c>
      <c r="B92" s="24" t="s">
        <v>27</v>
      </c>
      <c r="C92" s="68" t="s">
        <v>95</v>
      </c>
      <c r="D92" s="7" t="s">
        <v>96</v>
      </c>
      <c r="E92" s="321" t="s">
        <v>35</v>
      </c>
      <c r="F92" s="322"/>
      <c r="G92" s="69" t="s">
        <v>78</v>
      </c>
      <c r="H92" s="70" t="s">
        <v>78</v>
      </c>
      <c r="I92" s="69" t="s">
        <v>78</v>
      </c>
      <c r="J92" s="70" t="s">
        <v>78</v>
      </c>
      <c r="K92" s="171" t="s">
        <v>78</v>
      </c>
      <c r="L92" s="167" t="s">
        <v>78</v>
      </c>
      <c r="M92" s="167" t="s">
        <v>78</v>
      </c>
      <c r="N92" s="172" t="s">
        <v>78</v>
      </c>
    </row>
    <row r="93" spans="1:14" ht="19.5" thickBot="1" x14ac:dyDescent="0.3">
      <c r="A93" s="67" t="str">
        <f t="shared" si="2"/>
        <v>UVC60215LBS 5,0x50 - PF603550R2,Rk</v>
      </c>
      <c r="B93" s="3" t="s">
        <v>27</v>
      </c>
      <c r="C93" s="68" t="s">
        <v>95</v>
      </c>
      <c r="D93" s="2" t="s">
        <v>96</v>
      </c>
      <c r="E93" s="323" t="s">
        <v>40</v>
      </c>
      <c r="F93" s="324"/>
      <c r="G93" s="71">
        <v>16.100000000000001</v>
      </c>
      <c r="H93" s="72">
        <v>16.100000000000001</v>
      </c>
      <c r="I93" s="73" t="s">
        <v>78</v>
      </c>
      <c r="J93" s="74" t="s">
        <v>78</v>
      </c>
      <c r="K93" s="171" t="s">
        <v>78</v>
      </c>
      <c r="L93" s="167" t="s">
        <v>78</v>
      </c>
      <c r="M93" s="167" t="s">
        <v>78</v>
      </c>
      <c r="N93" s="172" t="s">
        <v>78</v>
      </c>
    </row>
    <row r="94" spans="1:14" ht="19.5" thickBot="1" x14ac:dyDescent="0.3">
      <c r="A94" s="67" t="str">
        <f t="shared" si="2"/>
        <v>UVC60215LBS 5,0x50 - PF603550R3,Rk</v>
      </c>
      <c r="B94" s="3" t="s">
        <v>27</v>
      </c>
      <c r="C94" s="68" t="s">
        <v>95</v>
      </c>
      <c r="D94" s="2" t="s">
        <v>96</v>
      </c>
      <c r="E94" s="319" t="s">
        <v>43</v>
      </c>
      <c r="F94" s="320"/>
      <c r="G94" s="73" t="s">
        <v>78</v>
      </c>
      <c r="H94" s="74" t="s">
        <v>78</v>
      </c>
      <c r="I94" s="73" t="s">
        <v>78</v>
      </c>
      <c r="J94" s="74" t="s">
        <v>78</v>
      </c>
      <c r="K94" s="171" t="s">
        <v>78</v>
      </c>
      <c r="L94" s="167" t="s">
        <v>78</v>
      </c>
      <c r="M94" s="167" t="s">
        <v>78</v>
      </c>
      <c r="N94" s="172" t="s">
        <v>78</v>
      </c>
    </row>
    <row r="95" spans="1:14" ht="19.5" thickBot="1" x14ac:dyDescent="0.3">
      <c r="A95" s="67" t="str">
        <f t="shared" si="2"/>
        <v>UVC60215LBS 5,0x50 - PF603550R4,Rk</v>
      </c>
      <c r="B95" s="5" t="s">
        <v>27</v>
      </c>
      <c r="C95" s="68" t="s">
        <v>95</v>
      </c>
      <c r="D95" s="25" t="s">
        <v>96</v>
      </c>
      <c r="E95" s="327" t="s">
        <v>45</v>
      </c>
      <c r="F95" s="328"/>
      <c r="G95" s="75" t="s">
        <v>78</v>
      </c>
      <c r="H95" s="76" t="s">
        <v>78</v>
      </c>
      <c r="I95" s="75" t="s">
        <v>78</v>
      </c>
      <c r="J95" s="76" t="s">
        <v>78</v>
      </c>
      <c r="K95" s="171" t="s">
        <v>78</v>
      </c>
      <c r="L95" s="167" t="s">
        <v>78</v>
      </c>
      <c r="M95" s="167" t="s">
        <v>78</v>
      </c>
      <c r="N95" s="172" t="s">
        <v>78</v>
      </c>
    </row>
    <row r="96" spans="1:14" ht="19.5" thickBot="1" x14ac:dyDescent="0.3">
      <c r="A96" s="67" t="str">
        <f t="shared" si="2"/>
        <v>UVC60215LBS 5,0x60 - PF603560R1,Rk</v>
      </c>
      <c r="B96" s="24" t="s">
        <v>27</v>
      </c>
      <c r="C96" s="68" t="s">
        <v>95</v>
      </c>
      <c r="D96" s="7" t="s">
        <v>100</v>
      </c>
      <c r="E96" s="321" t="s">
        <v>35</v>
      </c>
      <c r="F96" s="322"/>
      <c r="G96" s="69" t="s">
        <v>78</v>
      </c>
      <c r="H96" s="70" t="s">
        <v>78</v>
      </c>
      <c r="I96" s="69" t="s">
        <v>78</v>
      </c>
      <c r="J96" s="70" t="s">
        <v>78</v>
      </c>
      <c r="K96" s="171" t="s">
        <v>78</v>
      </c>
      <c r="L96" s="167" t="s">
        <v>78</v>
      </c>
      <c r="M96" s="167" t="s">
        <v>78</v>
      </c>
      <c r="N96" s="172" t="s">
        <v>78</v>
      </c>
    </row>
    <row r="97" spans="1:14" ht="19.5" thickBot="1" x14ac:dyDescent="0.3">
      <c r="A97" s="67" t="str">
        <f t="shared" si="2"/>
        <v>UVC60215LBS 5,0x60 - PF603560R2,Rk</v>
      </c>
      <c r="B97" s="3" t="s">
        <v>27</v>
      </c>
      <c r="C97" s="68" t="s">
        <v>95</v>
      </c>
      <c r="D97" s="2" t="s">
        <v>100</v>
      </c>
      <c r="E97" s="323" t="s">
        <v>40</v>
      </c>
      <c r="F97" s="324"/>
      <c r="G97" s="71">
        <v>16.100000000000001</v>
      </c>
      <c r="H97" s="72">
        <v>16.100000000000001</v>
      </c>
      <c r="I97" s="73" t="s">
        <v>78</v>
      </c>
      <c r="J97" s="74" t="s">
        <v>78</v>
      </c>
      <c r="K97" s="171" t="s">
        <v>78</v>
      </c>
      <c r="L97" s="167" t="s">
        <v>78</v>
      </c>
      <c r="M97" s="167" t="s">
        <v>78</v>
      </c>
      <c r="N97" s="172" t="s">
        <v>78</v>
      </c>
    </row>
    <row r="98" spans="1:14" ht="19.5" thickBot="1" x14ac:dyDescent="0.3">
      <c r="A98" s="67" t="str">
        <f t="shared" si="2"/>
        <v>UVC60215LBS 5,0x60 - PF603560R3,Rk</v>
      </c>
      <c r="B98" s="3" t="s">
        <v>27</v>
      </c>
      <c r="C98" s="68" t="s">
        <v>95</v>
      </c>
      <c r="D98" s="2" t="s">
        <v>100</v>
      </c>
      <c r="E98" s="319" t="s">
        <v>43</v>
      </c>
      <c r="F98" s="320"/>
      <c r="G98" s="73" t="s">
        <v>78</v>
      </c>
      <c r="H98" s="74" t="s">
        <v>78</v>
      </c>
      <c r="I98" s="73" t="s">
        <v>78</v>
      </c>
      <c r="J98" s="74" t="s">
        <v>78</v>
      </c>
      <c r="K98" s="171" t="s">
        <v>78</v>
      </c>
      <c r="L98" s="167" t="s">
        <v>78</v>
      </c>
      <c r="M98" s="167" t="s">
        <v>78</v>
      </c>
      <c r="N98" s="172" t="s">
        <v>78</v>
      </c>
    </row>
    <row r="99" spans="1:14" ht="19.5" thickBot="1" x14ac:dyDescent="0.3">
      <c r="A99" s="67" t="str">
        <f t="shared" si="2"/>
        <v>UVC60215LBS 5,0x60 - PF603560R4,Rk</v>
      </c>
      <c r="B99" s="3" t="s">
        <v>27</v>
      </c>
      <c r="C99" s="68" t="s">
        <v>95</v>
      </c>
      <c r="D99" s="2" t="s">
        <v>100</v>
      </c>
      <c r="E99" s="323" t="s">
        <v>45</v>
      </c>
      <c r="F99" s="324"/>
      <c r="G99" s="75" t="s">
        <v>78</v>
      </c>
      <c r="H99" s="76" t="s">
        <v>78</v>
      </c>
      <c r="I99" s="75" t="s">
        <v>78</v>
      </c>
      <c r="J99" s="76" t="s">
        <v>78</v>
      </c>
      <c r="K99" s="171" t="s">
        <v>78</v>
      </c>
      <c r="L99" s="167" t="s">
        <v>78</v>
      </c>
      <c r="M99" s="167" t="s">
        <v>78</v>
      </c>
      <c r="N99" s="172" t="s">
        <v>78</v>
      </c>
    </row>
    <row r="100" spans="1:14" ht="19.5" thickBot="1" x14ac:dyDescent="0.3">
      <c r="A100" s="67" t="str">
        <f t="shared" si="2"/>
        <v>UVC60215LBS 5,0x70 - PF603570R1,Rk</v>
      </c>
      <c r="B100" s="7" t="s">
        <v>27</v>
      </c>
      <c r="C100" s="68" t="s">
        <v>95</v>
      </c>
      <c r="D100" s="7" t="s">
        <v>101</v>
      </c>
      <c r="E100" s="321" t="s">
        <v>35</v>
      </c>
      <c r="F100" s="322"/>
      <c r="G100" s="69" t="s">
        <v>78</v>
      </c>
      <c r="H100" s="70" t="s">
        <v>78</v>
      </c>
      <c r="I100" s="69" t="s">
        <v>78</v>
      </c>
      <c r="J100" s="70" t="s">
        <v>78</v>
      </c>
      <c r="K100" s="171" t="s">
        <v>78</v>
      </c>
      <c r="L100" s="167" t="s">
        <v>78</v>
      </c>
      <c r="M100" s="167" t="s">
        <v>78</v>
      </c>
      <c r="N100" s="172" t="s">
        <v>78</v>
      </c>
    </row>
    <row r="101" spans="1:14" ht="19.5" thickBot="1" x14ac:dyDescent="0.3">
      <c r="A101" s="67" t="str">
        <f t="shared" si="2"/>
        <v>UVC60215LBS 5,0x70 - PF603570R2,Rk</v>
      </c>
      <c r="B101" s="2" t="s">
        <v>27</v>
      </c>
      <c r="C101" s="68" t="s">
        <v>95</v>
      </c>
      <c r="D101" s="2" t="s">
        <v>101</v>
      </c>
      <c r="E101" s="323" t="s">
        <v>40</v>
      </c>
      <c r="F101" s="324"/>
      <c r="G101" s="71">
        <v>16.100000000000001</v>
      </c>
      <c r="H101" s="72">
        <v>16.100000000000001</v>
      </c>
      <c r="I101" s="73" t="s">
        <v>78</v>
      </c>
      <c r="J101" s="74" t="s">
        <v>78</v>
      </c>
      <c r="K101" s="171" t="s">
        <v>78</v>
      </c>
      <c r="L101" s="167" t="s">
        <v>78</v>
      </c>
      <c r="M101" s="167" t="s">
        <v>78</v>
      </c>
      <c r="N101" s="172" t="s">
        <v>78</v>
      </c>
    </row>
    <row r="102" spans="1:14" ht="19.5" thickBot="1" x14ac:dyDescent="0.3">
      <c r="A102" s="67" t="str">
        <f t="shared" si="2"/>
        <v>UVC60215LBS 5,0x70 - PF603570R3,Rk</v>
      </c>
      <c r="B102" s="2" t="s">
        <v>27</v>
      </c>
      <c r="C102" s="68" t="s">
        <v>95</v>
      </c>
      <c r="D102" s="2" t="s">
        <v>101</v>
      </c>
      <c r="E102" s="319" t="s">
        <v>43</v>
      </c>
      <c r="F102" s="320"/>
      <c r="G102" s="73" t="s">
        <v>78</v>
      </c>
      <c r="H102" s="74" t="s">
        <v>78</v>
      </c>
      <c r="I102" s="73" t="s">
        <v>78</v>
      </c>
      <c r="J102" s="74" t="s">
        <v>78</v>
      </c>
      <c r="K102" s="171" t="s">
        <v>78</v>
      </c>
      <c r="L102" s="167" t="s">
        <v>78</v>
      </c>
      <c r="M102" s="167" t="s">
        <v>78</v>
      </c>
      <c r="N102" s="172" t="s">
        <v>78</v>
      </c>
    </row>
    <row r="103" spans="1:14" ht="19.5" thickBot="1" x14ac:dyDescent="0.3">
      <c r="A103" s="67" t="str">
        <f t="shared" si="2"/>
        <v>UVC60215LBS 5,0x70 - PF603570R4,Rk</v>
      </c>
      <c r="B103" s="25" t="s">
        <v>27</v>
      </c>
      <c r="C103" s="68" t="s">
        <v>95</v>
      </c>
      <c r="D103" s="25" t="s">
        <v>101</v>
      </c>
      <c r="E103" s="327" t="s">
        <v>45</v>
      </c>
      <c r="F103" s="328"/>
      <c r="G103" s="75" t="s">
        <v>78</v>
      </c>
      <c r="H103" s="76" t="s">
        <v>78</v>
      </c>
      <c r="I103" s="75" t="s">
        <v>78</v>
      </c>
      <c r="J103" s="76" t="s">
        <v>78</v>
      </c>
      <c r="K103" s="173" t="s">
        <v>78</v>
      </c>
      <c r="L103" s="174" t="s">
        <v>78</v>
      </c>
      <c r="M103" s="174" t="s">
        <v>78</v>
      </c>
      <c r="N103" s="175" t="s">
        <v>78</v>
      </c>
    </row>
  </sheetData>
  <customSheetViews>
    <customSheetView guid="{0CD160FA-77E1-425A-9118-5D753714CF1F}" topLeftCell="A55">
      <selection activeCell="L13" sqref="L13"/>
      <pageMargins left="0" right="0" top="0" bottom="0" header="0" footer="0"/>
      <pageSetup paperSize="9" orientation="portrait" r:id="rId1"/>
    </customSheetView>
  </customSheetViews>
  <mergeCells count="101">
    <mergeCell ref="E99:F99"/>
    <mergeCell ref="E100:F100"/>
    <mergeCell ref="E101:F101"/>
    <mergeCell ref="E102:F102"/>
    <mergeCell ref="E103:F103"/>
    <mergeCell ref="K2:L2"/>
    <mergeCell ref="M2:N2"/>
    <mergeCell ref="E98:F98"/>
    <mergeCell ref="E87:F87"/>
    <mergeCell ref="E88:F88"/>
    <mergeCell ref="E89:F89"/>
    <mergeCell ref="E90:F90"/>
    <mergeCell ref="E91:F91"/>
    <mergeCell ref="E92:F92"/>
    <mergeCell ref="E93:F93"/>
    <mergeCell ref="E94:F94"/>
    <mergeCell ref="E95:F95"/>
    <mergeCell ref="E96:F96"/>
    <mergeCell ref="E97:F97"/>
    <mergeCell ref="E86:F86"/>
    <mergeCell ref="E78:F78"/>
    <mergeCell ref="E79:F79"/>
    <mergeCell ref="E80:F80"/>
    <mergeCell ref="E76:F76"/>
    <mergeCell ref="E77:F77"/>
    <mergeCell ref="E81:F81"/>
    <mergeCell ref="E82:F82"/>
    <mergeCell ref="E83:F83"/>
    <mergeCell ref="E84:F84"/>
    <mergeCell ref="E85:F85"/>
    <mergeCell ref="Z31:Z32"/>
    <mergeCell ref="E23:F23"/>
    <mergeCell ref="E27:F27"/>
    <mergeCell ref="E31:F31"/>
    <mergeCell ref="E64:F64"/>
    <mergeCell ref="E43:F43"/>
    <mergeCell ref="E56:F56"/>
    <mergeCell ref="E57:F57"/>
    <mergeCell ref="E58:F58"/>
    <mergeCell ref="E60:F60"/>
    <mergeCell ref="E61:F61"/>
    <mergeCell ref="E62:F62"/>
    <mergeCell ref="E44:F44"/>
    <mergeCell ref="E45:F45"/>
    <mergeCell ref="E46:F46"/>
    <mergeCell ref="E48:F48"/>
    <mergeCell ref="E47:F47"/>
    <mergeCell ref="E51:F51"/>
    <mergeCell ref="E49:F49"/>
    <mergeCell ref="E19:F19"/>
    <mergeCell ref="E35:F35"/>
    <mergeCell ref="E39:F39"/>
    <mergeCell ref="E24:F24"/>
    <mergeCell ref="E25:F25"/>
    <mergeCell ref="E26:F26"/>
    <mergeCell ref="E28:F28"/>
    <mergeCell ref="E29:F29"/>
    <mergeCell ref="E30:F30"/>
    <mergeCell ref="E20:F20"/>
    <mergeCell ref="E21:F21"/>
    <mergeCell ref="E22:F22"/>
    <mergeCell ref="E40:F40"/>
    <mergeCell ref="E41:F41"/>
    <mergeCell ref="E42:F42"/>
    <mergeCell ref="E32:F32"/>
    <mergeCell ref="E33:F33"/>
    <mergeCell ref="E34:F34"/>
    <mergeCell ref="E36:F36"/>
    <mergeCell ref="E37:F37"/>
    <mergeCell ref="E38:F38"/>
    <mergeCell ref="E74:F74"/>
    <mergeCell ref="E75:F75"/>
    <mergeCell ref="E50:F50"/>
    <mergeCell ref="E52:F52"/>
    <mergeCell ref="E53:F53"/>
    <mergeCell ref="E54:F54"/>
    <mergeCell ref="E73:F73"/>
    <mergeCell ref="E67:F67"/>
    <mergeCell ref="E65:F65"/>
    <mergeCell ref="E66:F66"/>
    <mergeCell ref="E69:F69"/>
    <mergeCell ref="E70:F70"/>
    <mergeCell ref="E68:F68"/>
    <mergeCell ref="E72:F72"/>
    <mergeCell ref="E71:F71"/>
    <mergeCell ref="E55:F55"/>
    <mergeCell ref="E59:F59"/>
    <mergeCell ref="E63:F63"/>
    <mergeCell ref="G2:H2"/>
    <mergeCell ref="I2:J2"/>
    <mergeCell ref="E18:F18"/>
    <mergeCell ref="E8:F8"/>
    <mergeCell ref="E9:F9"/>
    <mergeCell ref="E10:F10"/>
    <mergeCell ref="E12:F12"/>
    <mergeCell ref="E13:F13"/>
    <mergeCell ref="E14:F14"/>
    <mergeCell ref="E11:F11"/>
    <mergeCell ref="E15:F15"/>
    <mergeCell ref="E16:F16"/>
    <mergeCell ref="E17:F17"/>
  </mergeCell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44" r:id="rId5" name="Pulsante 4">
              <controlPr defaultSize="0" print="0" autoLine="0" autoPict="0" macro="[0]!Foglio5.Nascondi">
                <anchor moveWithCells="1" sizeWithCells="1">
                  <from>
                    <xdr:col>14</xdr:col>
                    <xdr:colOff>723900</xdr:colOff>
                    <xdr:row>0</xdr:row>
                    <xdr:rowOff>171450</xdr:rowOff>
                  </from>
                  <to>
                    <xdr:col>16</xdr:col>
                    <xdr:colOff>742950</xdr:colOff>
                    <xdr:row>3</xdr:row>
                    <xdr:rowOff>76200</xdr:rowOff>
                  </to>
                </anchor>
              </controlPr>
            </control>
          </mc:Choice>
        </mc:AlternateContent>
        <mc:AlternateContent xmlns:mc="http://schemas.openxmlformats.org/markup-compatibility/2006">
          <mc:Choice Requires="x14">
            <control shapeId="10245" r:id="rId6" name="Pulsante 5">
              <controlPr defaultSize="0" print="0" autoLine="0" autoPict="0" macro="[0]!Foglio5.Scopri">
                <anchor moveWithCells="1" sizeWithCells="1">
                  <from>
                    <xdr:col>14</xdr:col>
                    <xdr:colOff>695325</xdr:colOff>
                    <xdr:row>4</xdr:row>
                    <xdr:rowOff>85725</xdr:rowOff>
                  </from>
                  <to>
                    <xdr:col>16</xdr:col>
                    <xdr:colOff>742950</xdr:colOff>
                    <xdr:row>5</xdr:row>
                    <xdr:rowOff>314325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3D066-1B06-425B-B56A-92D045ACFC5E}">
  <sheetPr codeName="Foglio7">
    <tabColor theme="5" tint="0.39997558519241921"/>
  </sheetPr>
  <dimension ref="A1:AC66"/>
  <sheetViews>
    <sheetView showGridLines="0" showRowColHeaders="0" tabSelected="1" zoomScale="115" zoomScaleNormal="115" zoomScaleSheetLayoutView="115" workbookViewId="0">
      <selection activeCell="E19" sqref="E19:G19"/>
    </sheetView>
  </sheetViews>
  <sheetFormatPr defaultColWidth="0" defaultRowHeight="12.75" zeroHeight="1" x14ac:dyDescent="0.2"/>
  <cols>
    <col min="1" max="2" width="3.7109375" customWidth="1"/>
    <col min="3" max="3" width="25.5703125" customWidth="1"/>
    <col min="4" max="4" width="10.7109375" customWidth="1"/>
    <col min="5" max="7" width="13.7109375" customWidth="1"/>
    <col min="8" max="8" width="9" customWidth="1"/>
    <col min="9" max="9" width="7" customWidth="1"/>
    <col min="10" max="10" width="14.28515625" customWidth="1"/>
    <col min="11" max="11" width="9" customWidth="1"/>
    <col min="12" max="12" width="6" customWidth="1"/>
    <col min="13" max="13" width="9" customWidth="1"/>
    <col min="14" max="14" width="3.7109375" customWidth="1"/>
    <col min="15" max="15" width="5.7109375" hidden="1" customWidth="1"/>
    <col min="16" max="16" width="19.28515625" hidden="1" customWidth="1"/>
    <col min="17" max="17" width="12.28515625" hidden="1" customWidth="1"/>
    <col min="18" max="19" width="20" hidden="1" customWidth="1"/>
    <col min="20" max="20" width="17" hidden="1" customWidth="1"/>
    <col min="21" max="21" width="20" hidden="1" customWidth="1"/>
    <col min="22" max="22" width="18.42578125" hidden="1" customWidth="1"/>
    <col min="23" max="23" width="15.5703125" hidden="1" customWidth="1"/>
    <col min="24" max="25" width="15.7109375" hidden="1" customWidth="1"/>
    <col min="26" max="26" width="18.42578125" hidden="1" customWidth="1"/>
    <col min="27" max="29" width="9" hidden="1" customWidth="1"/>
    <col min="30" max="16384" width="9" hidden="1" collapsed="1"/>
  </cols>
  <sheetData>
    <row r="1" spans="2:29" ht="40.5" customHeight="1" x14ac:dyDescent="0.25">
      <c r="B1" s="206"/>
      <c r="C1" s="206"/>
      <c r="D1" s="206"/>
      <c r="E1" s="252"/>
      <c r="F1" s="252"/>
      <c r="G1" s="252"/>
      <c r="H1" s="252"/>
      <c r="I1" s="206"/>
      <c r="J1" s="253" t="s">
        <v>117</v>
      </c>
      <c r="K1" s="253"/>
      <c r="L1" s="253"/>
      <c r="M1" s="254"/>
      <c r="AC1" s="191"/>
    </row>
    <row r="2" spans="2:29" ht="34.700000000000003" customHeight="1" x14ac:dyDescent="0.25">
      <c r="B2" s="207"/>
      <c r="C2" s="207"/>
      <c r="D2" s="262" t="s">
        <v>116</v>
      </c>
      <c r="E2" s="262"/>
      <c r="F2" s="262"/>
      <c r="G2" s="262"/>
      <c r="H2" s="262"/>
      <c r="I2" s="207"/>
      <c r="J2" s="208"/>
      <c r="K2" s="208"/>
      <c r="L2" s="208"/>
      <c r="M2" s="208"/>
      <c r="AC2" s="191"/>
    </row>
    <row r="3" spans="2:29" ht="16.149999999999999" customHeight="1" x14ac:dyDescent="0.2">
      <c r="B3" s="230"/>
      <c r="C3" s="230"/>
      <c r="D3" s="230"/>
      <c r="E3" s="230"/>
      <c r="F3" s="230"/>
      <c r="G3" s="230"/>
      <c r="H3" s="230"/>
      <c r="I3" s="230"/>
      <c r="J3" s="230"/>
      <c r="K3" s="230"/>
      <c r="L3" s="230"/>
      <c r="M3" s="230"/>
      <c r="AC3" s="190"/>
    </row>
    <row r="4" spans="2:29" ht="42" hidden="1" customHeight="1" x14ac:dyDescent="0.2">
      <c r="B4" s="230"/>
      <c r="C4" s="230"/>
      <c r="D4" s="230"/>
      <c r="E4" s="230"/>
      <c r="F4" s="230"/>
      <c r="G4" s="230"/>
      <c r="H4" s="230"/>
      <c r="I4" s="230"/>
      <c r="J4" s="230"/>
      <c r="K4" s="230"/>
      <c r="L4" s="230"/>
      <c r="M4" s="230"/>
    </row>
    <row r="5" spans="2:29" ht="43.15" customHeight="1" thickBot="1" x14ac:dyDescent="0.25">
      <c r="B5" s="230"/>
      <c r="C5" s="230"/>
      <c r="D5" s="230"/>
      <c r="E5" s="230"/>
      <c r="F5" s="230"/>
      <c r="G5" s="230"/>
      <c r="H5" s="230"/>
      <c r="I5" s="230"/>
      <c r="J5" s="230"/>
      <c r="K5" s="230"/>
      <c r="L5" s="230"/>
      <c r="M5" s="230"/>
      <c r="N5" s="77"/>
      <c r="O5" s="77"/>
    </row>
    <row r="6" spans="2:29" ht="42" customHeight="1" x14ac:dyDescent="0.2">
      <c r="B6" s="205"/>
      <c r="C6" s="205"/>
      <c r="D6" s="205"/>
      <c r="E6" s="205"/>
      <c r="F6" s="205"/>
      <c r="G6" s="205"/>
      <c r="H6" s="205"/>
      <c r="I6" s="205"/>
      <c r="J6" s="205"/>
      <c r="K6" s="205"/>
      <c r="L6" s="205"/>
      <c r="M6" s="205"/>
      <c r="N6" s="77"/>
      <c r="O6" s="77"/>
      <c r="P6" s="78" t="s">
        <v>3</v>
      </c>
      <c r="Q6" s="79" t="s">
        <v>4</v>
      </c>
      <c r="R6" s="80" t="s">
        <v>3</v>
      </c>
      <c r="S6" s="81" t="s">
        <v>4</v>
      </c>
    </row>
    <row r="7" spans="2:29" hidden="1" x14ac:dyDescent="0.2">
      <c r="B7" s="205"/>
      <c r="C7" s="204" t="s">
        <v>102</v>
      </c>
      <c r="D7" s="205"/>
      <c r="E7" s="238" t="s">
        <v>103</v>
      </c>
      <c r="F7" s="239"/>
      <c r="G7" s="240"/>
      <c r="H7" s="205"/>
      <c r="I7" s="205"/>
      <c r="J7" s="205"/>
      <c r="K7" s="205"/>
      <c r="L7" s="205"/>
      <c r="M7" s="205"/>
      <c r="P7" s="82">
        <f>MATCH($E$7,$P$9:$P$10,0)</f>
        <v>1</v>
      </c>
      <c r="Q7" s="83" t="str">
        <f>INDEX($P$9:$Q$10,P7,2)</f>
        <v>UVT</v>
      </c>
      <c r="R7" s="82">
        <f>MATCH($E$9,R9:R16,0)</f>
        <v>3</v>
      </c>
      <c r="S7" s="84" t="str">
        <f>INDEX($R$9:$S$16,R7,2)</f>
        <v>vitiUVTaltri</v>
      </c>
    </row>
    <row r="8" spans="2:29" hidden="1" x14ac:dyDescent="0.2">
      <c r="B8" s="205"/>
      <c r="C8" s="205"/>
      <c r="D8" s="205"/>
      <c r="E8" s="205"/>
      <c r="F8" s="205"/>
      <c r="G8" s="205"/>
      <c r="H8" s="205"/>
      <c r="I8" s="205"/>
      <c r="J8" s="205"/>
      <c r="K8" s="205"/>
      <c r="L8" s="205"/>
      <c r="M8" s="205"/>
      <c r="P8" s="86" t="s">
        <v>5</v>
      </c>
      <c r="R8" s="86" t="s">
        <v>6</v>
      </c>
      <c r="S8" s="87" t="s">
        <v>7</v>
      </c>
      <c r="U8" s="177" t="s">
        <v>8</v>
      </c>
    </row>
    <row r="9" spans="2:29" ht="13.5" x14ac:dyDescent="0.25">
      <c r="B9" s="217"/>
      <c r="C9" s="218" t="s">
        <v>104</v>
      </c>
      <c r="D9" s="205"/>
      <c r="E9" s="241" t="s">
        <v>19</v>
      </c>
      <c r="F9" s="242"/>
      <c r="G9" s="243"/>
      <c r="H9" s="205"/>
      <c r="I9" s="205"/>
      <c r="J9" s="205"/>
      <c r="K9" s="205"/>
      <c r="L9" s="205"/>
      <c r="M9" s="205"/>
      <c r="P9" s="88" t="s">
        <v>103</v>
      </c>
      <c r="Q9" s="89" t="s">
        <v>10</v>
      </c>
      <c r="R9" s="88" t="s">
        <v>11</v>
      </c>
      <c r="S9" s="90" t="s">
        <v>12</v>
      </c>
      <c r="T9" s="176">
        <v>5</v>
      </c>
      <c r="U9" s="261" t="s">
        <v>13</v>
      </c>
    </row>
    <row r="10" spans="2:29" ht="13.5" x14ac:dyDescent="0.25">
      <c r="B10" s="217"/>
      <c r="C10" s="217"/>
      <c r="D10" s="205"/>
      <c r="E10" s="205"/>
      <c r="F10" s="205"/>
      <c r="G10" s="205"/>
      <c r="H10" s="205"/>
      <c r="I10" s="205"/>
      <c r="J10" s="205"/>
      <c r="K10" s="205"/>
      <c r="L10" s="205"/>
      <c r="M10" s="205"/>
      <c r="P10" s="88" t="s">
        <v>105</v>
      </c>
      <c r="Q10" s="89" t="s">
        <v>16</v>
      </c>
      <c r="R10" s="88" t="s">
        <v>17</v>
      </c>
      <c r="S10" s="90" t="s">
        <v>18</v>
      </c>
      <c r="T10" s="176">
        <v>6</v>
      </c>
      <c r="U10" s="261"/>
    </row>
    <row r="11" spans="2:29" ht="13.5" x14ac:dyDescent="0.25">
      <c r="B11" s="217"/>
      <c r="C11" s="218" t="s">
        <v>106</v>
      </c>
      <c r="D11" s="205"/>
      <c r="E11" s="241" t="s">
        <v>37</v>
      </c>
      <c r="F11" s="242"/>
      <c r="G11" s="243"/>
      <c r="H11" s="205"/>
      <c r="I11" s="205"/>
      <c r="J11" s="205"/>
      <c r="K11" s="205"/>
      <c r="L11" s="205"/>
      <c r="M11" s="205"/>
      <c r="P11" s="88"/>
      <c r="Q11" s="89"/>
      <c r="R11" s="88" t="s">
        <v>19</v>
      </c>
      <c r="S11" s="90" t="s">
        <v>18</v>
      </c>
      <c r="T11" s="176">
        <v>7</v>
      </c>
      <c r="U11" s="261"/>
    </row>
    <row r="12" spans="2:29" ht="13.5" x14ac:dyDescent="0.25">
      <c r="B12" s="217"/>
      <c r="C12" s="217"/>
      <c r="D12" s="205"/>
      <c r="E12" s="205"/>
      <c r="F12" s="205"/>
      <c r="G12" s="205"/>
      <c r="H12" s="205"/>
      <c r="I12" s="205"/>
      <c r="J12" s="205"/>
      <c r="K12" s="205"/>
      <c r="L12" s="205"/>
      <c r="P12" s="88"/>
      <c r="Q12" s="89"/>
      <c r="R12" s="88" t="s">
        <v>21</v>
      </c>
      <c r="S12" s="90" t="s">
        <v>18</v>
      </c>
      <c r="T12" s="176">
        <v>8</v>
      </c>
      <c r="U12" s="261"/>
    </row>
    <row r="13" spans="2:29" ht="14.25" thickBot="1" x14ac:dyDescent="0.3">
      <c r="B13" s="217"/>
      <c r="C13" s="218" t="s">
        <v>107</v>
      </c>
      <c r="D13" s="205"/>
      <c r="E13" s="241" t="s">
        <v>44</v>
      </c>
      <c r="F13" s="242"/>
      <c r="G13" s="243"/>
      <c r="H13" s="205"/>
      <c r="I13" s="205"/>
      <c r="J13" s="205"/>
      <c r="K13" s="205"/>
      <c r="L13" s="205"/>
      <c r="M13" s="205"/>
      <c r="P13" s="92"/>
      <c r="Q13" s="93"/>
      <c r="R13" s="88" t="s">
        <v>22</v>
      </c>
      <c r="S13" s="90" t="s">
        <v>18</v>
      </c>
      <c r="T13" s="176">
        <v>9</v>
      </c>
      <c r="U13" s="261"/>
    </row>
    <row r="14" spans="2:29" ht="13.5" hidden="1" x14ac:dyDescent="0.25">
      <c r="B14" s="217"/>
      <c r="C14" s="219"/>
      <c r="D14" s="205"/>
      <c r="E14" s="205"/>
      <c r="F14" s="205"/>
      <c r="G14" s="205"/>
      <c r="H14" s="205"/>
      <c r="I14" s="205"/>
      <c r="J14" s="205"/>
      <c r="K14" s="205"/>
      <c r="L14" s="205"/>
      <c r="M14" s="205"/>
      <c r="R14" s="88" t="s">
        <v>24</v>
      </c>
      <c r="S14" s="90" t="s">
        <v>18</v>
      </c>
      <c r="T14" s="176">
        <v>10</v>
      </c>
      <c r="U14" s="261"/>
    </row>
    <row r="15" spans="2:29" ht="13.5" hidden="1" x14ac:dyDescent="0.25">
      <c r="B15" s="217"/>
      <c r="C15" s="218" t="s">
        <v>108</v>
      </c>
      <c r="D15" s="205"/>
      <c r="E15" s="244" t="str">
        <f>IF(E7="","",IF(E7="TIMBER - TIMBER","-",T21))</f>
        <v>-</v>
      </c>
      <c r="F15" s="245"/>
      <c r="G15" s="246"/>
      <c r="H15" s="205"/>
      <c r="I15" s="205"/>
      <c r="J15" s="205"/>
      <c r="K15" s="205"/>
      <c r="L15" s="205"/>
      <c r="M15" s="205"/>
      <c r="R15" s="88" t="s">
        <v>25</v>
      </c>
      <c r="S15" s="90" t="s">
        <v>18</v>
      </c>
      <c r="T15" s="176">
        <v>11</v>
      </c>
      <c r="U15" s="261"/>
    </row>
    <row r="16" spans="2:29" ht="13.15" customHeight="1" thickBot="1" x14ac:dyDescent="0.3">
      <c r="B16" s="217"/>
      <c r="C16" s="217"/>
      <c r="D16" s="205"/>
      <c r="E16" s="205"/>
      <c r="F16" s="205"/>
      <c r="G16" s="205"/>
      <c r="H16" s="205"/>
      <c r="I16" s="205"/>
      <c r="J16" s="205"/>
      <c r="K16" s="205"/>
      <c r="L16" s="205"/>
      <c r="M16" s="205"/>
      <c r="R16" s="92" t="s">
        <v>27</v>
      </c>
      <c r="S16" s="94" t="s">
        <v>18</v>
      </c>
      <c r="T16" s="176">
        <v>12</v>
      </c>
      <c r="U16" s="261"/>
    </row>
    <row r="17" spans="2:21" ht="13.15" customHeight="1" x14ac:dyDescent="0.2">
      <c r="B17" s="217"/>
      <c r="C17" s="218" t="s">
        <v>109</v>
      </c>
      <c r="D17" s="205"/>
      <c r="E17" s="241" t="s">
        <v>110</v>
      </c>
      <c r="F17" s="242"/>
      <c r="G17" s="243"/>
      <c r="H17" s="205"/>
      <c r="I17" s="205"/>
      <c r="J17" s="205"/>
      <c r="K17" s="205"/>
      <c r="L17" s="205"/>
      <c r="M17" s="205"/>
    </row>
    <row r="18" spans="2:21" ht="13.15" customHeight="1" x14ac:dyDescent="0.2">
      <c r="B18" s="217"/>
      <c r="C18" s="217"/>
      <c r="D18" s="205"/>
      <c r="E18" s="205"/>
      <c r="F18" s="205"/>
      <c r="G18" s="205"/>
      <c r="H18" s="205"/>
      <c r="I18" s="205"/>
      <c r="J18" s="205"/>
      <c r="K18" s="205"/>
      <c r="L18" s="205"/>
      <c r="M18" s="205"/>
      <c r="P18" s="95">
        <f>MATCH(E11,P21:P25,0)</f>
        <v>2</v>
      </c>
      <c r="R18" s="95">
        <f>MATCH(E13,R21:R24,0)</f>
        <v>4</v>
      </c>
      <c r="S18" s="95"/>
      <c r="T18" s="95" t="e">
        <f>MATCH(E15,T21:T36,0)</f>
        <v>#N/A</v>
      </c>
      <c r="U18" s="96"/>
    </row>
    <row r="19" spans="2:21" ht="13.15" customHeight="1" x14ac:dyDescent="0.2">
      <c r="B19" s="232" t="s">
        <v>111</v>
      </c>
      <c r="C19" s="233"/>
      <c r="D19" s="205"/>
      <c r="E19" s="258">
        <v>8</v>
      </c>
      <c r="F19" s="259"/>
      <c r="G19" s="260"/>
      <c r="H19" s="205"/>
      <c r="I19" s="205"/>
      <c r="J19" s="205"/>
      <c r="K19" s="205"/>
      <c r="L19" s="205"/>
      <c r="M19" s="205"/>
      <c r="P19" s="97" t="s">
        <v>29</v>
      </c>
      <c r="R19" s="97" t="s">
        <v>30</v>
      </c>
      <c r="S19" s="97"/>
      <c r="T19" s="97" t="s">
        <v>31</v>
      </c>
      <c r="U19" s="98"/>
    </row>
    <row r="20" spans="2:21" ht="13.15" customHeight="1" x14ac:dyDescent="0.2">
      <c r="B20" s="220"/>
      <c r="C20" s="220"/>
      <c r="D20" s="205"/>
      <c r="E20" s="231"/>
      <c r="F20" s="231"/>
      <c r="G20" s="231"/>
      <c r="H20" s="205"/>
      <c r="I20" s="205"/>
      <c r="J20" s="205"/>
      <c r="K20" s="205"/>
      <c r="L20" s="205"/>
      <c r="M20" s="205"/>
      <c r="P20" s="97"/>
      <c r="R20" s="97"/>
      <c r="S20" s="97"/>
      <c r="T20" s="97"/>
      <c r="U20" s="98"/>
    </row>
    <row r="21" spans="2:21" ht="13.15" customHeight="1" thickBot="1" x14ac:dyDescent="0.3">
      <c r="B21" s="205"/>
      <c r="C21" s="205"/>
      <c r="D21" s="205"/>
      <c r="E21" s="205"/>
      <c r="F21" s="205"/>
      <c r="G21" s="205"/>
      <c r="H21" s="205"/>
      <c r="I21" s="205"/>
      <c r="J21" s="205"/>
      <c r="K21" s="205"/>
      <c r="L21" s="205"/>
      <c r="M21" s="205"/>
      <c r="P21" s="89" t="s">
        <v>32</v>
      </c>
      <c r="Q21" s="176">
        <v>16</v>
      </c>
      <c r="R21" s="89" t="s">
        <v>33</v>
      </c>
      <c r="S21" s="89" t="s">
        <v>12</v>
      </c>
      <c r="T21" s="89" t="s">
        <v>34</v>
      </c>
      <c r="U21" s="77"/>
    </row>
    <row r="22" spans="2:21" ht="17.45" customHeight="1" x14ac:dyDescent="0.25">
      <c r="B22" s="205"/>
      <c r="C22" s="205"/>
      <c r="D22" s="205"/>
      <c r="E22" s="221" t="s">
        <v>115</v>
      </c>
      <c r="F22" s="222" t="s">
        <v>113</v>
      </c>
      <c r="G22" s="229" t="s">
        <v>114</v>
      </c>
      <c r="H22" s="205"/>
      <c r="I22" s="205"/>
      <c r="J22" s="205"/>
      <c r="K22" s="205"/>
      <c r="L22" s="205"/>
      <c r="M22" s="205"/>
      <c r="P22" s="89" t="s">
        <v>37</v>
      </c>
      <c r="Q22" s="176">
        <v>17</v>
      </c>
      <c r="R22" s="89" t="s">
        <v>38</v>
      </c>
      <c r="S22" s="89" t="s">
        <v>12</v>
      </c>
      <c r="T22" s="89"/>
      <c r="U22" s="77"/>
    </row>
    <row r="23" spans="2:21" ht="17.45" customHeight="1" x14ac:dyDescent="0.25">
      <c r="B23" s="205"/>
      <c r="C23" s="205"/>
      <c r="D23" s="205"/>
      <c r="E23" s="223" t="str">
        <f>IF(E9="","",E9)</f>
        <v>UVT60115</v>
      </c>
      <c r="F23" s="224" t="str">
        <f>IF(E9="","",E9)</f>
        <v>UVT60115</v>
      </c>
      <c r="G23" s="225">
        <f>IF(E19="","",E19)</f>
        <v>8</v>
      </c>
      <c r="H23" s="205"/>
      <c r="I23" s="205"/>
      <c r="J23" s="205"/>
      <c r="K23" s="205"/>
      <c r="L23" s="205"/>
      <c r="M23" s="205"/>
      <c r="P23" s="89" t="s">
        <v>41</v>
      </c>
      <c r="Q23" s="176">
        <v>18</v>
      </c>
      <c r="R23" s="89" t="s">
        <v>42</v>
      </c>
      <c r="S23" s="89" t="s">
        <v>18</v>
      </c>
      <c r="T23" s="89"/>
      <c r="U23" s="77"/>
    </row>
    <row r="24" spans="2:21" ht="17.45" customHeight="1" x14ac:dyDescent="0.25">
      <c r="B24" s="205"/>
      <c r="C24" s="205"/>
      <c r="D24" s="205"/>
      <c r="E24" s="223" t="str">
        <f>LEFT(E11,10)</f>
        <v>LBS 5,0x60</v>
      </c>
      <c r="F24" s="224" t="str">
        <f>RIGHT(E11,6)</f>
        <v>LBS560</v>
      </c>
      <c r="G24" s="225">
        <f>IF(E19="","",IF(E17="TOTAL",(INDEX($P$48:$V$55,$R$7,3))*$E$19,(INDEX($P$48:$V$55,$R$7,5))*$E$19))</f>
        <v>136</v>
      </c>
      <c r="H24" s="205"/>
      <c r="I24" s="205"/>
      <c r="J24" s="205"/>
      <c r="K24" s="205"/>
      <c r="L24" s="205"/>
      <c r="M24" s="205"/>
      <c r="Q24" s="176">
        <v>19</v>
      </c>
      <c r="R24" s="89" t="s">
        <v>44</v>
      </c>
      <c r="S24" s="89" t="s">
        <v>18</v>
      </c>
      <c r="T24" s="89"/>
      <c r="U24" s="77"/>
    </row>
    <row r="25" spans="2:21" ht="17.45" customHeight="1" thickBot="1" x14ac:dyDescent="0.25">
      <c r="B25" s="205"/>
      <c r="C25" s="205"/>
      <c r="D25" s="205"/>
      <c r="E25" s="223" t="str">
        <f>LEFT(E13,11)</f>
        <v>VGS 6,0x160</v>
      </c>
      <c r="F25" s="224" t="str">
        <f>RIGHT(E13,7)</f>
        <v>VGS6160</v>
      </c>
      <c r="G25" s="225">
        <f>IF(E19="","",IF(E17="TOTAL",(INDEX($P$48:$V$55,$R$7,4))*$E$19,(INDEX($P$48:$V$55,$R$7,6))*$E$19))</f>
        <v>56</v>
      </c>
      <c r="H25" s="205"/>
      <c r="I25" s="205"/>
      <c r="J25" s="205"/>
      <c r="K25" s="205"/>
      <c r="L25" s="205"/>
      <c r="M25" s="205"/>
      <c r="Q25" s="77"/>
      <c r="R25" s="77"/>
      <c r="S25" s="77"/>
      <c r="T25" s="77"/>
      <c r="U25" s="77"/>
    </row>
    <row r="26" spans="2:21" ht="13.5" thickBot="1" x14ac:dyDescent="0.25">
      <c r="B26" s="205"/>
      <c r="C26" s="205"/>
      <c r="D26" s="205"/>
      <c r="E26" s="226" t="str">
        <f>IF(E15="","",IF(E15="-","-",E15))</f>
        <v>-</v>
      </c>
      <c r="F26" s="227" t="str">
        <f>IF(E15="","",IF(E15="-","-",E15))</f>
        <v>-</v>
      </c>
      <c r="G26" s="228" t="str">
        <f>IF(E19="","",IF(F26="-","-",(INDEX($P$48:$V$55,$R$7,7))*$E$19))</f>
        <v>-</v>
      </c>
      <c r="H26" s="205"/>
      <c r="I26" s="205"/>
      <c r="J26" s="205"/>
      <c r="K26" s="205"/>
      <c r="L26" s="205"/>
      <c r="M26" s="205"/>
      <c r="P26" s="78"/>
      <c r="Q26" s="255" t="s">
        <v>4</v>
      </c>
      <c r="T26" s="77"/>
      <c r="U26" s="77"/>
    </row>
    <row r="27" spans="2:21" x14ac:dyDescent="0.2">
      <c r="B27" s="205"/>
      <c r="C27" s="205"/>
      <c r="D27" s="205"/>
      <c r="E27" s="209"/>
      <c r="F27" s="210"/>
      <c r="G27" s="212"/>
      <c r="H27" s="205"/>
      <c r="I27" s="205"/>
      <c r="J27" s="205"/>
      <c r="K27" s="205"/>
      <c r="L27" s="205"/>
      <c r="M27" s="205"/>
      <c r="P27" s="211"/>
      <c r="Q27" s="256"/>
      <c r="T27" s="77"/>
      <c r="U27" s="77"/>
    </row>
    <row r="28" spans="2:21" x14ac:dyDescent="0.2">
      <c r="B28" s="213" t="s">
        <v>118</v>
      </c>
      <c r="C28" s="214"/>
      <c r="D28" s="214"/>
      <c r="E28" s="214"/>
      <c r="F28" s="214"/>
      <c r="G28" s="214"/>
      <c r="H28" s="214"/>
      <c r="I28" s="214"/>
      <c r="J28" s="214"/>
      <c r="K28" s="214"/>
      <c r="L28" s="214"/>
      <c r="M28" s="214"/>
      <c r="P28" s="211"/>
      <c r="Q28" s="256"/>
      <c r="T28" s="77"/>
      <c r="U28" s="77"/>
    </row>
    <row r="29" spans="2:21" ht="23.25" customHeight="1" x14ac:dyDescent="0.2">
      <c r="B29" s="247" t="s">
        <v>119</v>
      </c>
      <c r="C29" s="247"/>
      <c r="D29" s="247"/>
      <c r="E29" s="247"/>
      <c r="F29" s="247"/>
      <c r="G29" s="247"/>
      <c r="H29" s="247"/>
      <c r="I29" s="247"/>
      <c r="J29" s="247"/>
      <c r="K29" s="247"/>
      <c r="L29" s="247"/>
      <c r="M29" s="247"/>
      <c r="P29" s="211"/>
      <c r="Q29" s="256"/>
      <c r="T29" s="77"/>
      <c r="U29" s="77"/>
    </row>
    <row r="30" spans="2:21" ht="24" customHeight="1" x14ac:dyDescent="0.2">
      <c r="B30" s="247" t="s">
        <v>120</v>
      </c>
      <c r="C30" s="247"/>
      <c r="D30" s="247"/>
      <c r="E30" s="247"/>
      <c r="F30" s="247"/>
      <c r="G30" s="247"/>
      <c r="H30" s="247"/>
      <c r="I30" s="247"/>
      <c r="J30" s="247"/>
      <c r="K30" s="247"/>
      <c r="L30" s="247"/>
      <c r="M30" s="247"/>
      <c r="P30" s="211"/>
      <c r="Q30" s="256"/>
      <c r="T30" s="77"/>
      <c r="U30" s="77"/>
    </row>
    <row r="31" spans="2:21" ht="12.75" customHeight="1" x14ac:dyDescent="0.2">
      <c r="B31" s="215" t="s">
        <v>121</v>
      </c>
      <c r="C31" s="216"/>
      <c r="D31" s="216"/>
      <c r="E31" s="216"/>
      <c r="F31" s="216"/>
      <c r="G31" s="216"/>
      <c r="H31" s="216"/>
      <c r="I31" s="216"/>
      <c r="J31" s="216"/>
      <c r="K31" s="216"/>
      <c r="L31" s="216"/>
      <c r="M31" s="216"/>
      <c r="P31" s="82"/>
      <c r="Q31" s="257"/>
      <c r="T31" s="77"/>
      <c r="U31" s="77"/>
    </row>
    <row r="32" spans="2:21" ht="13.15" hidden="1" customHeight="1" x14ac:dyDescent="0.2">
      <c r="B32" s="215" t="s">
        <v>121</v>
      </c>
      <c r="C32" s="216"/>
      <c r="D32" s="216"/>
      <c r="E32" s="216"/>
      <c r="F32" s="216"/>
      <c r="G32" s="216"/>
      <c r="H32" s="216"/>
      <c r="I32" s="216"/>
      <c r="J32" s="216"/>
      <c r="K32" s="216"/>
      <c r="L32" s="216"/>
      <c r="M32" s="216"/>
      <c r="P32" s="86" t="s">
        <v>28</v>
      </c>
      <c r="Q32" s="102" t="str">
        <f>INDEX($P$33:$Q$34,P7,2)</f>
        <v>chiodaturaUVT</v>
      </c>
      <c r="T32" s="77"/>
      <c r="U32" s="77"/>
    </row>
    <row r="33" spans="2:21" ht="13.15" hidden="1" customHeight="1" x14ac:dyDescent="0.2">
      <c r="M33" s="91"/>
      <c r="P33" s="88" t="s">
        <v>112</v>
      </c>
      <c r="Q33" s="103" t="s">
        <v>48</v>
      </c>
      <c r="T33" s="77"/>
      <c r="U33" s="77"/>
    </row>
    <row r="34" spans="2:21" ht="13.15" hidden="1" customHeight="1" thickBot="1" x14ac:dyDescent="0.25">
      <c r="M34" s="91"/>
      <c r="P34" s="92" t="s">
        <v>110</v>
      </c>
      <c r="Q34" s="104" t="s">
        <v>50</v>
      </c>
      <c r="T34" s="77"/>
      <c r="U34" s="77"/>
    </row>
    <row r="35" spans="2:21" ht="13.15" hidden="1" customHeight="1" x14ac:dyDescent="0.2">
      <c r="M35" s="91"/>
      <c r="R35" s="77"/>
      <c r="S35" s="77"/>
      <c r="T35" s="77"/>
      <c r="U35" s="77"/>
    </row>
    <row r="36" spans="2:21" ht="13.15" hidden="1" customHeight="1" x14ac:dyDescent="0.2">
      <c r="M36" s="91"/>
      <c r="P36" s="86" t="s">
        <v>51</v>
      </c>
      <c r="Q36" s="77"/>
      <c r="R36" s="77"/>
      <c r="S36" s="77"/>
      <c r="T36" s="77"/>
      <c r="U36" s="77"/>
    </row>
    <row r="37" spans="2:21" s="105" customFormat="1" ht="20.25" hidden="1" customHeight="1" x14ac:dyDescent="0.2">
      <c r="B37"/>
      <c r="C37"/>
      <c r="D37"/>
      <c r="E37"/>
      <c r="F37"/>
      <c r="G37"/>
      <c r="H37"/>
      <c r="I37"/>
      <c r="J37"/>
      <c r="K37"/>
      <c r="L37"/>
      <c r="M37" s="91"/>
      <c r="N37"/>
      <c r="O37"/>
      <c r="P37" s="106" t="s">
        <v>57</v>
      </c>
      <c r="Q37" s="106"/>
      <c r="R37" s="106"/>
      <c r="S37" s="106" t="s">
        <v>58</v>
      </c>
      <c r="U37" s="107"/>
    </row>
    <row r="38" spans="2:21" s="105" customFormat="1" ht="20.25" hidden="1" customHeight="1" x14ac:dyDescent="0.2">
      <c r="B38"/>
      <c r="C38"/>
      <c r="D38"/>
      <c r="E38"/>
      <c r="F38"/>
      <c r="G38"/>
      <c r="H38"/>
      <c r="I38"/>
      <c r="J38"/>
      <c r="K38"/>
      <c r="L38"/>
      <c r="M38" s="91"/>
      <c r="N38"/>
      <c r="O38"/>
      <c r="P38" s="105" t="e">
        <f>CONCATENATE($E$9,$E$11,#REF!)</f>
        <v>#REF!</v>
      </c>
      <c r="S38" s="105" t="str">
        <f>CONCATENATE($E$17,$E$13)</f>
        <v>TOTALVGS 6,0x160 - VGS6160</v>
      </c>
      <c r="U38" s="107"/>
    </row>
    <row r="39" spans="2:21" s="105" customFormat="1" ht="20.25" hidden="1" customHeight="1" x14ac:dyDescent="0.2">
      <c r="B39"/>
      <c r="C39"/>
      <c r="D39"/>
      <c r="E39"/>
      <c r="F39"/>
      <c r="G39"/>
      <c r="H39"/>
      <c r="I39"/>
      <c r="J39"/>
      <c r="K39" s="158"/>
      <c r="L39" s="158"/>
      <c r="M39" s="91"/>
      <c r="N39"/>
      <c r="O39"/>
      <c r="P39" s="105" t="e">
        <f>CONCATENATE($E$9,$E$11,#REF!)</f>
        <v>#REF!</v>
      </c>
      <c r="U39" s="107"/>
    </row>
    <row r="40" spans="2:21" s="105" customFormat="1" ht="20.25" hidden="1" customHeight="1" x14ac:dyDescent="0.2">
      <c r="B40"/>
      <c r="C40"/>
      <c r="D40"/>
      <c r="E40"/>
      <c r="F40"/>
      <c r="G40"/>
      <c r="H40"/>
      <c r="I40"/>
      <c r="J40"/>
      <c r="K40"/>
      <c r="L40"/>
      <c r="M40" s="203"/>
      <c r="N40"/>
      <c r="O40"/>
      <c r="P40" s="105" t="e">
        <f>CONCATENATE($E$9,$E$11,#REF!)</f>
        <v>#REF!</v>
      </c>
      <c r="U40" s="107"/>
    </row>
    <row r="41" spans="2:21" s="105" customFormat="1" ht="20.25" hidden="1" customHeight="1" x14ac:dyDescent="0.2">
      <c r="B41"/>
      <c r="C41"/>
      <c r="D41"/>
      <c r="E41"/>
      <c r="F41"/>
      <c r="G41"/>
      <c r="H41"/>
      <c r="I41"/>
      <c r="J41"/>
      <c r="K41"/>
      <c r="L41"/>
      <c r="M41"/>
      <c r="N41"/>
      <c r="O41"/>
      <c r="P41" s="105" t="e">
        <f>CONCATENATE($E$9,$E$11,#REF!)</f>
        <v>#REF!</v>
      </c>
      <c r="U41" s="107"/>
    </row>
    <row r="42" spans="2:21" s="105" customFormat="1" ht="20.25" hidden="1" customHeight="1" x14ac:dyDescent="0.2">
      <c r="B42"/>
      <c r="C42"/>
      <c r="D42"/>
      <c r="E42"/>
      <c r="F42"/>
      <c r="G42"/>
      <c r="H42"/>
      <c r="I42"/>
      <c r="J42"/>
      <c r="K42"/>
      <c r="L42"/>
      <c r="M42"/>
      <c r="N42"/>
      <c r="O42"/>
      <c r="U42" s="107"/>
    </row>
    <row r="43" spans="2:21" ht="20.25" hidden="1" customHeight="1" x14ac:dyDescent="0.2"/>
    <row r="45" spans="2:21" ht="32.65" hidden="1" customHeight="1" x14ac:dyDescent="0.2">
      <c r="P45" s="234" t="s">
        <v>63</v>
      </c>
      <c r="Q45" s="236" t="s">
        <v>64</v>
      </c>
      <c r="R45" s="248" t="s">
        <v>65</v>
      </c>
      <c r="S45" s="249"/>
      <c r="T45" s="248" t="s">
        <v>66</v>
      </c>
      <c r="U45" s="250"/>
    </row>
    <row r="46" spans="2:21" ht="15" hidden="1" customHeight="1" x14ac:dyDescent="0.2">
      <c r="P46" s="235"/>
      <c r="Q46" s="237"/>
      <c r="R46" s="126" t="s">
        <v>68</v>
      </c>
      <c r="S46" s="127" t="s">
        <v>69</v>
      </c>
      <c r="T46" s="126" t="s">
        <v>68</v>
      </c>
      <c r="U46" s="128" t="s">
        <v>69</v>
      </c>
    </row>
    <row r="47" spans="2:21" ht="18.75" hidden="1" customHeight="1" x14ac:dyDescent="0.2">
      <c r="P47" s="235"/>
      <c r="Q47" s="237"/>
      <c r="R47" s="129" t="s">
        <v>70</v>
      </c>
      <c r="S47" s="130" t="s">
        <v>71</v>
      </c>
      <c r="T47" s="129" t="s">
        <v>70</v>
      </c>
      <c r="U47" s="131" t="s">
        <v>71</v>
      </c>
    </row>
    <row r="48" spans="2:21" ht="44.45" hidden="1" customHeight="1" x14ac:dyDescent="0.2">
      <c r="P48" s="132" t="s">
        <v>11</v>
      </c>
      <c r="Q48" s="133" t="s">
        <v>75</v>
      </c>
      <c r="R48" s="134">
        <f>6+2</f>
        <v>8</v>
      </c>
      <c r="S48" s="135">
        <v>7</v>
      </c>
      <c r="T48" s="134">
        <f>4+2</f>
        <v>6</v>
      </c>
      <c r="U48" s="136">
        <v>5</v>
      </c>
    </row>
    <row r="49" spans="16:23" ht="15" hidden="1" x14ac:dyDescent="0.2">
      <c r="P49" s="137" t="s">
        <v>17</v>
      </c>
      <c r="Q49" s="138" t="s">
        <v>75</v>
      </c>
      <c r="R49" s="139">
        <f>9+2</f>
        <v>11</v>
      </c>
      <c r="S49" s="140">
        <v>5</v>
      </c>
      <c r="T49" s="139">
        <f>5+2</f>
        <v>7</v>
      </c>
      <c r="U49" s="140">
        <v>5</v>
      </c>
    </row>
    <row r="50" spans="16:23" ht="15" hidden="1" x14ac:dyDescent="0.2">
      <c r="P50" s="137" t="s">
        <v>19</v>
      </c>
      <c r="Q50" s="138" t="s">
        <v>75</v>
      </c>
      <c r="R50" s="139">
        <f>15+2</f>
        <v>17</v>
      </c>
      <c r="S50" s="140">
        <v>7</v>
      </c>
      <c r="T50" s="139">
        <f>8+2</f>
        <v>10</v>
      </c>
      <c r="U50" s="140">
        <v>5</v>
      </c>
    </row>
    <row r="51" spans="16:23" ht="15" hidden="1" x14ac:dyDescent="0.2">
      <c r="P51" s="137" t="s">
        <v>21</v>
      </c>
      <c r="Q51" s="138" t="s">
        <v>75</v>
      </c>
      <c r="R51" s="139">
        <f>21+4</f>
        <v>25</v>
      </c>
      <c r="S51" s="140">
        <v>7</v>
      </c>
      <c r="T51" s="139">
        <f>11+4</f>
        <v>15</v>
      </c>
      <c r="U51" s="140">
        <v>5</v>
      </c>
    </row>
    <row r="52" spans="16:23" ht="15.95" hidden="1" customHeight="1" x14ac:dyDescent="0.2">
      <c r="P52" s="141" t="s">
        <v>22</v>
      </c>
      <c r="Q52" s="142" t="s">
        <v>75</v>
      </c>
      <c r="R52" s="143">
        <f>30+4</f>
        <v>34</v>
      </c>
      <c r="S52" s="144">
        <v>9</v>
      </c>
      <c r="T52" s="143">
        <f>16+4</f>
        <v>20</v>
      </c>
      <c r="U52" s="144">
        <v>5</v>
      </c>
    </row>
    <row r="53" spans="16:23" ht="15" hidden="1" x14ac:dyDescent="0.2">
      <c r="P53" s="132" t="s">
        <v>24</v>
      </c>
      <c r="Q53" s="145" t="s">
        <v>77</v>
      </c>
      <c r="R53" s="146">
        <v>2</v>
      </c>
      <c r="S53" s="147">
        <v>6</v>
      </c>
      <c r="T53" s="148" t="s">
        <v>78</v>
      </c>
      <c r="U53" s="148" t="s">
        <v>78</v>
      </c>
      <c r="V53" s="149">
        <v>2</v>
      </c>
    </row>
    <row r="54" spans="16:23" ht="15" hidden="1" x14ac:dyDescent="0.2">
      <c r="P54" s="137" t="s">
        <v>25</v>
      </c>
      <c r="Q54" s="150" t="s">
        <v>77</v>
      </c>
      <c r="R54" s="151">
        <v>4</v>
      </c>
      <c r="S54" s="140">
        <v>6</v>
      </c>
      <c r="T54" s="148" t="s">
        <v>78</v>
      </c>
      <c r="U54" s="148" t="s">
        <v>78</v>
      </c>
      <c r="V54" s="152">
        <v>2</v>
      </c>
      <c r="W54" s="251" t="s">
        <v>79</v>
      </c>
    </row>
    <row r="55" spans="16:23" ht="15.75" hidden="1" thickBot="1" x14ac:dyDescent="0.25">
      <c r="P55" s="141" t="s">
        <v>27</v>
      </c>
      <c r="Q55" s="153" t="s">
        <v>77</v>
      </c>
      <c r="R55" s="154">
        <v>4</v>
      </c>
      <c r="S55" s="144">
        <v>8</v>
      </c>
      <c r="T55" s="148" t="s">
        <v>78</v>
      </c>
      <c r="U55" s="148" t="s">
        <v>78</v>
      </c>
      <c r="V55" s="155">
        <v>3</v>
      </c>
      <c r="W55" s="251"/>
    </row>
    <row r="56" spans="16:23" hidden="1" x14ac:dyDescent="0.2">
      <c r="W56" s="251"/>
    </row>
    <row r="61" spans="16:23" hidden="1" x14ac:dyDescent="0.2">
      <c r="P61" s="97" t="s">
        <v>86</v>
      </c>
    </row>
    <row r="62" spans="16:23" hidden="1" x14ac:dyDescent="0.2">
      <c r="P62" t="s">
        <v>76</v>
      </c>
      <c r="Q62" t="s">
        <v>88</v>
      </c>
    </row>
    <row r="63" spans="16:23" hidden="1" x14ac:dyDescent="0.2">
      <c r="P63" t="s">
        <v>90</v>
      </c>
      <c r="Q63" t="s">
        <v>91</v>
      </c>
    </row>
    <row r="64" spans="16:23" hidden="1" x14ac:dyDescent="0.2">
      <c r="P64" t="s">
        <v>92</v>
      </c>
      <c r="Q64" t="s">
        <v>93</v>
      </c>
    </row>
    <row r="66" x14ac:dyDescent="0.2"/>
  </sheetData>
  <sheetProtection algorithmName="SHA-512" hashValue="+jY/WO6S9yvar7otxDto3smwf5OztxvnI2dabSlKUKutSfzD6i5EzUSyKrmFghTRyoztf6obxTco20LMxjW/rA==" saltValue="0aD2+8MZRkRamCFUlzgt7Q==" spinCount="100000" sheet="1" objects="1" scenarios="1" selectLockedCells="1"/>
  <mergeCells count="20">
    <mergeCell ref="R45:S45"/>
    <mergeCell ref="T45:U45"/>
    <mergeCell ref="W54:W56"/>
    <mergeCell ref="E1:H1"/>
    <mergeCell ref="J1:M1"/>
    <mergeCell ref="E17:G17"/>
    <mergeCell ref="Q26:Q31"/>
    <mergeCell ref="E19:G19"/>
    <mergeCell ref="U9:U16"/>
    <mergeCell ref="D2:H2"/>
    <mergeCell ref="B19:C19"/>
    <mergeCell ref="P45:P47"/>
    <mergeCell ref="Q45:Q47"/>
    <mergeCell ref="E7:G7"/>
    <mergeCell ref="E9:G9"/>
    <mergeCell ref="E11:G11"/>
    <mergeCell ref="E13:G13"/>
    <mergeCell ref="E15:G15"/>
    <mergeCell ref="B29:M29"/>
    <mergeCell ref="B30:M30"/>
  </mergeCells>
  <conditionalFormatting sqref="E9:G9">
    <cfRule type="expression" dxfId="24" priority="8">
      <formula>AND($E$7=$P$10,$E$9=$R$13)</formula>
    </cfRule>
    <cfRule type="expression" dxfId="23" priority="9">
      <formula>AND($E$7=$P$10,$E$9=$R$12)</formula>
    </cfRule>
    <cfRule type="expression" dxfId="22" priority="10">
      <formula>AND($E$7=$P$10,$E$9=$R$11)</formula>
    </cfRule>
    <cfRule type="expression" dxfId="21" priority="11">
      <formula>AND($E$7=$P$10,$E$9=$R$10)</formula>
    </cfRule>
    <cfRule type="expression" dxfId="20" priority="12">
      <formula>AND($E$7=$P$10,$E$9=$R$9)</formula>
    </cfRule>
    <cfRule type="expression" dxfId="19" priority="13">
      <formula>AND($E$7=$P$9,$E$9=$R$16)</formula>
    </cfRule>
    <cfRule type="expression" dxfId="18" priority="14">
      <formula>AND($E$7=$P$9,$E$9=$R$15)</formula>
    </cfRule>
    <cfRule type="expression" dxfId="17" priority="15">
      <formula>AND($E$7=$P$9,$E$9=$R$14)</formula>
    </cfRule>
  </conditionalFormatting>
  <conditionalFormatting sqref="E13:G13">
    <cfRule type="expression" dxfId="16" priority="2">
      <formula>AND($E$9=$R$16,$E$13=$R$22)</formula>
    </cfRule>
    <cfRule type="expression" dxfId="15" priority="3">
      <formula>AND($E$9=$R$16,$E$13=$R$21)</formula>
    </cfRule>
    <cfRule type="expression" dxfId="14" priority="4">
      <formula>AND($E$9=$R$15,$E$13=$R$22)</formula>
    </cfRule>
    <cfRule type="expression" dxfId="13" priority="5">
      <formula>AND($E$9=$R$15,$E$13=$R$21)</formula>
    </cfRule>
    <cfRule type="expression" dxfId="12" priority="6">
      <formula>AND($E$9=$R$14,$E$13=$R$22)</formula>
    </cfRule>
    <cfRule type="expression" dxfId="11" priority="7">
      <formula>AND($E$9=$R$14,$E$13=$R$21)</formula>
    </cfRule>
    <cfRule type="expression" dxfId="10" priority="16">
      <formula>AND($E$9=$R$13,$E$13=$R$22)</formula>
    </cfRule>
    <cfRule type="expression" dxfId="9" priority="17">
      <formula>AND($E$9=$R$13,$E$13=$R$21)</formula>
    </cfRule>
    <cfRule type="expression" dxfId="8" priority="18">
      <formula>AND($E$9=$R$12,$E$13=$R$22)</formula>
    </cfRule>
    <cfRule type="expression" dxfId="7" priority="19">
      <formula>AND($E$9=$R$12,$E$13=$R$21)</formula>
    </cfRule>
    <cfRule type="expression" dxfId="6" priority="20">
      <formula>AND($E$9=$R$11,$E$13=$R$22)</formula>
    </cfRule>
    <cfRule type="expression" dxfId="5" priority="21">
      <formula>AND($E$9=$R$11,$E$13=$R$21)</formula>
    </cfRule>
    <cfRule type="expression" dxfId="4" priority="22">
      <formula>AND($E$9=$R$10,$E$13=$R$22)</formula>
    </cfRule>
    <cfRule type="expression" dxfId="3" priority="23">
      <formula>AND($E$9=$R$10,$E$13=$R$21)</formula>
    </cfRule>
    <cfRule type="expression" dxfId="2" priority="24">
      <formula>AND($E$9=$R$9,$E$13=$R$24)</formula>
    </cfRule>
    <cfRule type="expression" dxfId="1" priority="25">
      <formula>AND($E$9=$R$9,$E$13=$R$23)</formula>
    </cfRule>
  </conditionalFormatting>
  <conditionalFormatting sqref="E17:G17">
    <cfRule type="expression" dxfId="0" priority="1">
      <formula>AND($E$7=$P$10,$E$17=$P$33)</formula>
    </cfRule>
  </conditionalFormatting>
  <dataValidations count="5">
    <dataValidation type="list" errorStyle="warning" allowBlank="1" showInputMessage="1" sqref="E17:G17" xr:uid="{00000000-0002-0000-0200-000000000000}">
      <formula1>INDIRECT($Q$32)</formula1>
    </dataValidation>
    <dataValidation type="list" allowBlank="1" showInputMessage="1" showErrorMessage="1" sqref="E11:G11" xr:uid="{00000000-0002-0000-0200-000001000000}">
      <formula1>$P$21:$P$23</formula1>
    </dataValidation>
    <dataValidation type="list" allowBlank="1" showInputMessage="1" showErrorMessage="1" sqref="E13:G13" xr:uid="{00000000-0002-0000-0200-000003000000}">
      <formula1>INDIRECT($S$7)</formula1>
    </dataValidation>
    <dataValidation type="list" allowBlank="1" showInputMessage="1" showErrorMessage="1" sqref="E9:G9" xr:uid="{00000000-0002-0000-0200-000004000000}">
      <formula1>INDIRECT($Q$7)</formula1>
    </dataValidation>
    <dataValidation type="list" allowBlank="1" showInputMessage="1" showErrorMessage="1" sqref="E7:G7" xr:uid="{00000000-0002-0000-0200-000005000000}">
      <formula1>Applicazione</formula1>
    </dataValidation>
  </dataValidations>
  <printOptions horizontalCentered="1"/>
  <pageMargins left="0.70866141732283505" right="0.70866141732283505" top="0.74803149606299202" bottom="0.74803149606299202" header="0.31496062992126" footer="0.31496062992126"/>
  <pageSetup paperSize="9" scale="86" fitToWidth="0"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9C860-D292-4CF0-876E-0C5B769F60B8}">
  <sheetPr codeName="Foglio8">
    <tabColor theme="5" tint="0.39997558519241921"/>
  </sheetPr>
  <dimension ref="A1:AC103"/>
  <sheetViews>
    <sheetView zoomScale="70" zoomScaleNormal="70" workbookViewId="0">
      <selection activeCell="D11" sqref="D11"/>
    </sheetView>
  </sheetViews>
  <sheetFormatPr defaultColWidth="9" defaultRowHeight="15" x14ac:dyDescent="0.25"/>
  <cols>
    <col min="1" max="1" width="41" style="27" customWidth="1" collapsed="1"/>
    <col min="2" max="2" width="19" style="27" customWidth="1" collapsed="1"/>
    <col min="3" max="3" width="9" style="27" collapsed="1"/>
    <col min="4" max="4" width="17.7109375" style="27" bestFit="1" customWidth="1" collapsed="1"/>
    <col min="5" max="5" width="9" style="27" customWidth="1" collapsed="1"/>
    <col min="6" max="6" width="12" style="27" customWidth="1" collapsed="1"/>
    <col min="7" max="7" width="22.7109375" style="27" customWidth="1" collapsed="1"/>
    <col min="8" max="8" width="23.42578125" style="27" customWidth="1" collapsed="1"/>
    <col min="9" max="10" width="18.42578125" style="27" bestFit="1" customWidth="1" collapsed="1"/>
    <col min="11" max="14" width="18.42578125" style="27" customWidth="1" collapsed="1"/>
    <col min="15" max="18" width="18.42578125" style="27" bestFit="1" customWidth="1" collapsed="1"/>
    <col min="19" max="16384" width="9" style="27" collapsed="1"/>
  </cols>
  <sheetData>
    <row r="1" spans="1:29" x14ac:dyDescent="0.25">
      <c r="A1" s="26" t="s">
        <v>3</v>
      </c>
      <c r="G1" s="28" t="s">
        <v>94</v>
      </c>
      <c r="H1" s="29"/>
      <c r="I1" s="29"/>
      <c r="J1" s="30"/>
      <c r="K1" s="71"/>
      <c r="L1" s="71"/>
      <c r="M1" s="71"/>
      <c r="N1" s="71"/>
    </row>
    <row r="2" spans="1:29" ht="15.75" thickBot="1" x14ac:dyDescent="0.3">
      <c r="A2" s="31">
        <f>MATCH(UV_en!S38,'tabelle scheda tecnica_en'!A6:N6,0)</f>
        <v>8</v>
      </c>
      <c r="G2" s="317" t="s">
        <v>110</v>
      </c>
      <c r="H2" s="318"/>
      <c r="I2" s="317" t="s">
        <v>112</v>
      </c>
      <c r="J2" s="318"/>
      <c r="K2" s="317" t="s">
        <v>110</v>
      </c>
      <c r="L2" s="318"/>
      <c r="M2" s="317" t="s">
        <v>112</v>
      </c>
      <c r="N2" s="318"/>
    </row>
    <row r="3" spans="1:29" ht="15" customHeight="1" x14ac:dyDescent="0.25">
      <c r="G3" s="8" t="s">
        <v>42</v>
      </c>
      <c r="H3" s="8" t="s">
        <v>44</v>
      </c>
      <c r="I3" s="8" t="s">
        <v>42</v>
      </c>
      <c r="J3" s="8" t="s">
        <v>44</v>
      </c>
      <c r="K3" s="89" t="s">
        <v>33</v>
      </c>
      <c r="L3" s="89" t="s">
        <v>38</v>
      </c>
      <c r="M3" s="89" t="s">
        <v>33</v>
      </c>
      <c r="N3" s="89" t="s">
        <v>38</v>
      </c>
    </row>
    <row r="4" spans="1:29" ht="15" customHeight="1" x14ac:dyDescent="0.25">
      <c r="G4" s="2"/>
      <c r="H4" s="2"/>
      <c r="I4" s="2"/>
      <c r="J4" s="2"/>
      <c r="K4" s="2"/>
      <c r="L4" s="2"/>
      <c r="M4" s="2"/>
      <c r="N4" s="2"/>
    </row>
    <row r="5" spans="1:29" ht="15" customHeight="1" x14ac:dyDescent="0.25">
      <c r="A5" s="32">
        <v>1</v>
      </c>
      <c r="B5" s="32">
        <v>2</v>
      </c>
      <c r="C5" s="32">
        <v>3</v>
      </c>
      <c r="D5" s="32">
        <v>4</v>
      </c>
      <c r="E5" s="32">
        <v>5</v>
      </c>
      <c r="F5" s="32">
        <v>6</v>
      </c>
      <c r="G5" s="23">
        <v>7</v>
      </c>
      <c r="H5" s="23">
        <v>8</v>
      </c>
      <c r="I5" s="23">
        <v>9</v>
      </c>
      <c r="J5" s="23">
        <v>10</v>
      </c>
      <c r="K5" s="23">
        <v>11</v>
      </c>
      <c r="L5" s="23">
        <v>12</v>
      </c>
      <c r="M5" s="23">
        <v>13</v>
      </c>
      <c r="N5" s="23">
        <v>14</v>
      </c>
    </row>
    <row r="6" spans="1:29" ht="30" x14ac:dyDescent="0.25">
      <c r="B6" s="33"/>
      <c r="G6" s="34" t="str">
        <f>CONCATENATE(G2,G3)</f>
        <v>TOTALVGS 6,0x100 - VGS6100</v>
      </c>
      <c r="H6" s="34" t="str">
        <f>CONCATENATE(G2,H3)</f>
        <v>TOTALVGS 6,0x160 - VGS6160</v>
      </c>
      <c r="I6" s="34" t="str">
        <f>CONCATENATE(I2,I3)</f>
        <v>PARTIALVGS 6,0x100 - VGS6100</v>
      </c>
      <c r="J6" s="34" t="str">
        <f>CONCATENATE(I2,J3)</f>
        <v>PARTIALVGS 6,0x160 - VGS6160</v>
      </c>
      <c r="K6" s="34" t="str">
        <f>CONCATENATE(K2,K3)</f>
        <v>TOTALHBS 4,0x50 - HBS450</v>
      </c>
      <c r="L6" s="34" t="str">
        <f>CONCATENATE(K2,L3)</f>
        <v>TOTALHBS 4,0x70 - HBS470</v>
      </c>
      <c r="M6" s="34" t="str">
        <f t="shared" ref="M6" si="0">CONCATENATE(M2,M3)</f>
        <v>PARTIALHBS 4,0x50 - HBS450</v>
      </c>
      <c r="N6" s="34" t="str">
        <f>CONCATENATE(M2,N3)</f>
        <v>PARTIALHBS 4,0x70 - HBS470</v>
      </c>
      <c r="S6" s="35"/>
      <c r="T6" s="35"/>
      <c r="U6" s="35"/>
      <c r="V6" s="35"/>
    </row>
    <row r="7" spans="1:29" ht="15" customHeight="1" thickBot="1" x14ac:dyDescent="0.3">
      <c r="S7" s="35"/>
      <c r="T7" s="35"/>
      <c r="U7" s="35"/>
      <c r="V7" s="35"/>
    </row>
    <row r="8" spans="1:29" ht="18.75" customHeight="1" thickBot="1" x14ac:dyDescent="0.3">
      <c r="A8" s="36" t="str">
        <f>CONCATENATE(B8,D8,E8)</f>
        <v>UVT60215LBS 5,0x50 - LBS550R1,Rk</v>
      </c>
      <c r="B8" s="37" t="s">
        <v>22</v>
      </c>
      <c r="C8" s="38" t="s">
        <v>95</v>
      </c>
      <c r="D8" s="22" t="s">
        <v>32</v>
      </c>
      <c r="E8" s="321" t="s">
        <v>35</v>
      </c>
      <c r="F8" s="322"/>
      <c r="G8" s="39">
        <v>2.8980000000000001</v>
      </c>
      <c r="H8" s="40">
        <v>2.8980000000000001</v>
      </c>
      <c r="I8" s="41">
        <v>2.8980000000000001</v>
      </c>
      <c r="J8" s="42">
        <v>2.8980000000000001</v>
      </c>
      <c r="K8" s="168" t="s">
        <v>78</v>
      </c>
      <c r="L8" s="169" t="s">
        <v>78</v>
      </c>
      <c r="M8" s="169" t="s">
        <v>78</v>
      </c>
      <c r="N8" s="170" t="s">
        <v>78</v>
      </c>
      <c r="P8" s="189" t="s">
        <v>97</v>
      </c>
      <c r="S8" s="35"/>
      <c r="T8" s="35"/>
      <c r="U8" s="35"/>
      <c r="V8" s="35"/>
    </row>
    <row r="9" spans="1:29" ht="19.5" thickBot="1" x14ac:dyDescent="0.3">
      <c r="A9" s="36" t="str">
        <f>CONCATENATE(B9,D9,E9)</f>
        <v>UVT60215LBS 5,0x50 - LBS550R2,Rk</v>
      </c>
      <c r="B9" s="37" t="s">
        <v>22</v>
      </c>
      <c r="C9" s="43" t="s">
        <v>95</v>
      </c>
      <c r="D9" s="8" t="s">
        <v>32</v>
      </c>
      <c r="E9" s="323" t="s">
        <v>40</v>
      </c>
      <c r="F9" s="324"/>
      <c r="G9" s="44">
        <v>37.335238046649707</v>
      </c>
      <c r="H9" s="45">
        <v>62.791082169365424</v>
      </c>
      <c r="I9" s="46">
        <v>18.667619023324853</v>
      </c>
      <c r="J9" s="47">
        <v>31.395541084682712</v>
      </c>
      <c r="K9" s="171" t="s">
        <v>78</v>
      </c>
      <c r="L9" s="167" t="s">
        <v>78</v>
      </c>
      <c r="M9" s="167" t="s">
        <v>78</v>
      </c>
      <c r="N9" s="172" t="s">
        <v>78</v>
      </c>
      <c r="P9" s="189" t="s">
        <v>98</v>
      </c>
      <c r="S9" s="35"/>
      <c r="T9" s="35"/>
      <c r="U9" s="35"/>
      <c r="V9" s="35"/>
    </row>
    <row r="10" spans="1:29" ht="19.5" thickBot="1" x14ac:dyDescent="0.3">
      <c r="A10" s="36" t="str">
        <f>CONCATENATE(B10,D10,E10)</f>
        <v>UVT60215LBS 5,0x50 - LBS550R3,Rk</v>
      </c>
      <c r="B10" s="37" t="s">
        <v>22</v>
      </c>
      <c r="C10" s="43" t="s">
        <v>95</v>
      </c>
      <c r="D10" s="8" t="s">
        <v>32</v>
      </c>
      <c r="E10" s="319" t="s">
        <v>43</v>
      </c>
      <c r="F10" s="320"/>
      <c r="G10" s="48">
        <v>4.6669047558312133</v>
      </c>
      <c r="H10" s="49">
        <v>7.848885271170678</v>
      </c>
      <c r="I10" s="50">
        <v>4.6669047558312133</v>
      </c>
      <c r="J10" s="51">
        <v>7.848885271170678</v>
      </c>
      <c r="K10" s="171" t="s">
        <v>78</v>
      </c>
      <c r="L10" s="167" t="s">
        <v>78</v>
      </c>
      <c r="M10" s="167" t="s">
        <v>78</v>
      </c>
      <c r="N10" s="172" t="s">
        <v>78</v>
      </c>
      <c r="P10" s="189" t="s">
        <v>99</v>
      </c>
    </row>
    <row r="11" spans="1:29" ht="27" thickBot="1" x14ac:dyDescent="0.3">
      <c r="A11" s="36" t="str">
        <f>CONCATENATE(B11,D11,E11)</f>
        <v>UVT60215LBS 5,0x50 - LBS550R4,Rk</v>
      </c>
      <c r="B11" s="37" t="s">
        <v>22</v>
      </c>
      <c r="C11" s="43" t="s">
        <v>95</v>
      </c>
      <c r="D11" s="8" t="s">
        <v>32</v>
      </c>
      <c r="E11" s="323" t="s">
        <v>45</v>
      </c>
      <c r="F11" s="324"/>
      <c r="G11" s="52">
        <v>3.3742800540521545</v>
      </c>
      <c r="H11" s="53">
        <v>3.3742800540521545</v>
      </c>
      <c r="I11" s="54">
        <v>2.778151723664454</v>
      </c>
      <c r="J11" s="55">
        <v>2.778151723664454</v>
      </c>
      <c r="K11" s="171" t="s">
        <v>78</v>
      </c>
      <c r="L11" s="167" t="s">
        <v>78</v>
      </c>
      <c r="M11" s="167" t="s">
        <v>78</v>
      </c>
      <c r="N11" s="172" t="s">
        <v>78</v>
      </c>
      <c r="Y11" s="11" t="s">
        <v>3</v>
      </c>
      <c r="Z11" s="14" t="s">
        <v>4</v>
      </c>
      <c r="AA11" s="19" t="s">
        <v>3</v>
      </c>
      <c r="AB11" s="21" t="s">
        <v>4</v>
      </c>
      <c r="AC11" s="1"/>
    </row>
    <row r="12" spans="1:29" ht="19.5" thickBot="1" x14ac:dyDescent="0.3">
      <c r="A12" s="36" t="str">
        <f t="shared" ref="A12:A67" si="1">CONCATENATE(B12,D12,E12)</f>
        <v>UVT60215LBS 5,0x60 - LBS560R1,Rk</v>
      </c>
      <c r="B12" s="37" t="s">
        <v>22</v>
      </c>
      <c r="C12" s="43" t="s">
        <v>95</v>
      </c>
      <c r="D12" s="8" t="s">
        <v>37</v>
      </c>
      <c r="E12" s="325" t="s">
        <v>35</v>
      </c>
      <c r="F12" s="326"/>
      <c r="G12" s="56">
        <v>3.528</v>
      </c>
      <c r="H12" s="57">
        <v>3.528</v>
      </c>
      <c r="I12" s="58">
        <v>3.528</v>
      </c>
      <c r="J12" s="59">
        <v>3.528</v>
      </c>
      <c r="K12" s="171" t="s">
        <v>78</v>
      </c>
      <c r="L12" s="167" t="s">
        <v>78</v>
      </c>
      <c r="M12" s="167" t="s">
        <v>78</v>
      </c>
      <c r="N12" s="172" t="s">
        <v>78</v>
      </c>
      <c r="Y12" s="12" t="e">
        <f>MATCH($F$6,$U$7:$U$8,0)</f>
        <v>#N/A</v>
      </c>
      <c r="Z12" s="15" t="e">
        <f>INDEX($U$7:$V$8,Y12,2)</f>
        <v>#N/A</v>
      </c>
      <c r="AA12" s="12" t="e">
        <f>MATCH($F$8,AA14:AA21,0)</f>
        <v>#N/A</v>
      </c>
      <c r="AB12" s="17" t="e">
        <f>INDEX($W$7:$X$14,AA12,2)</f>
        <v>#N/A</v>
      </c>
      <c r="AC12" s="1"/>
    </row>
    <row r="13" spans="1:29" ht="19.5" thickBot="1" x14ac:dyDescent="0.3">
      <c r="A13" s="36" t="str">
        <f t="shared" si="1"/>
        <v>UVT60215LBS 5,0x60 - LBS560R2,Rk</v>
      </c>
      <c r="B13" s="37" t="s">
        <v>22</v>
      </c>
      <c r="C13" s="43" t="s">
        <v>95</v>
      </c>
      <c r="D13" s="8" t="s">
        <v>37</v>
      </c>
      <c r="E13" s="323" t="s">
        <v>40</v>
      </c>
      <c r="F13" s="324"/>
      <c r="G13" s="44">
        <v>37.335238046649707</v>
      </c>
      <c r="H13" s="45">
        <v>62.791082169365424</v>
      </c>
      <c r="I13" s="46">
        <v>18.667619023324853</v>
      </c>
      <c r="J13" s="47">
        <v>31.395541084682712</v>
      </c>
      <c r="K13" s="171" t="s">
        <v>78</v>
      </c>
      <c r="L13" s="167" t="s">
        <v>78</v>
      </c>
      <c r="M13" s="167" t="s">
        <v>78</v>
      </c>
      <c r="N13" s="172" t="s">
        <v>78</v>
      </c>
      <c r="Y13" s="13" t="s">
        <v>5</v>
      </c>
      <c r="Z13" s="1"/>
      <c r="AA13" s="13" t="s">
        <v>6</v>
      </c>
      <c r="AB13" s="18" t="s">
        <v>7</v>
      </c>
      <c r="AC13" s="1"/>
    </row>
    <row r="14" spans="1:29" ht="19.5" thickBot="1" x14ac:dyDescent="0.3">
      <c r="A14" s="36" t="str">
        <f t="shared" si="1"/>
        <v>UVT60215LBS 5,0x60 - LBS560R3,Rk</v>
      </c>
      <c r="B14" s="37" t="s">
        <v>22</v>
      </c>
      <c r="C14" s="43" t="s">
        <v>95</v>
      </c>
      <c r="D14" s="8" t="s">
        <v>37</v>
      </c>
      <c r="E14" s="319" t="s">
        <v>43</v>
      </c>
      <c r="F14" s="320"/>
      <c r="G14" s="48">
        <v>4.6669047558312133</v>
      </c>
      <c r="H14" s="49">
        <v>7.848885271170678</v>
      </c>
      <c r="I14" s="50">
        <v>4.6669047558312133</v>
      </c>
      <c r="J14" s="51">
        <v>7.848885271170678</v>
      </c>
      <c r="K14" s="171" t="s">
        <v>78</v>
      </c>
      <c r="L14" s="167" t="s">
        <v>78</v>
      </c>
      <c r="M14" s="167" t="s">
        <v>78</v>
      </c>
      <c r="N14" s="172" t="s">
        <v>78</v>
      </c>
      <c r="Y14" s="3" t="s">
        <v>9</v>
      </c>
      <c r="Z14" s="8" t="s">
        <v>10</v>
      </c>
      <c r="AA14" s="3" t="s">
        <v>11</v>
      </c>
      <c r="AB14" s="4" t="s">
        <v>12</v>
      </c>
      <c r="AC14" s="1"/>
    </row>
    <row r="15" spans="1:29" ht="19.5" thickBot="1" x14ac:dyDescent="0.3">
      <c r="A15" s="36" t="str">
        <f t="shared" si="1"/>
        <v>UVT60215LBS 5,0x60 - LBS560R4,Rk</v>
      </c>
      <c r="B15" s="37" t="s">
        <v>22</v>
      </c>
      <c r="C15" s="43" t="s">
        <v>95</v>
      </c>
      <c r="D15" s="8" t="s">
        <v>37</v>
      </c>
      <c r="E15" s="323" t="s">
        <v>45</v>
      </c>
      <c r="F15" s="324"/>
      <c r="G15" s="52">
        <v>3.5275131124996011</v>
      </c>
      <c r="H15" s="53">
        <v>3.5275131124996011</v>
      </c>
      <c r="I15" s="54">
        <v>2.9043133577401208</v>
      </c>
      <c r="J15" s="55">
        <v>2.9043133577401208</v>
      </c>
      <c r="K15" s="171" t="s">
        <v>78</v>
      </c>
      <c r="L15" s="167" t="s">
        <v>78</v>
      </c>
      <c r="M15" s="167" t="s">
        <v>78</v>
      </c>
      <c r="N15" s="172" t="s">
        <v>78</v>
      </c>
      <c r="Y15" s="3" t="s">
        <v>15</v>
      </c>
      <c r="Z15" s="8" t="s">
        <v>16</v>
      </c>
      <c r="AA15" s="3" t="s">
        <v>17</v>
      </c>
      <c r="AB15" s="4" t="s">
        <v>18</v>
      </c>
      <c r="AC15" s="1"/>
    </row>
    <row r="16" spans="1:29" ht="19.5" thickBot="1" x14ac:dyDescent="0.3">
      <c r="A16" s="36" t="str">
        <f t="shared" si="1"/>
        <v>UVT60215LBS 5,0x70 - LBS570R1,Rk</v>
      </c>
      <c r="B16" s="37" t="s">
        <v>22</v>
      </c>
      <c r="C16" s="43" t="s">
        <v>95</v>
      </c>
      <c r="D16" s="8" t="s">
        <v>41</v>
      </c>
      <c r="E16" s="325" t="s">
        <v>35</v>
      </c>
      <c r="F16" s="326"/>
      <c r="G16" s="56">
        <v>4.1579999999999995</v>
      </c>
      <c r="H16" s="57">
        <v>4.1579999999999995</v>
      </c>
      <c r="I16" s="58">
        <v>4.1579999999999995</v>
      </c>
      <c r="J16" s="59">
        <v>4.1579999999999995</v>
      </c>
      <c r="K16" s="171" t="s">
        <v>78</v>
      </c>
      <c r="L16" s="167" t="s">
        <v>78</v>
      </c>
      <c r="M16" s="167" t="s">
        <v>78</v>
      </c>
      <c r="N16" s="172" t="s">
        <v>78</v>
      </c>
      <c r="Y16" s="3"/>
      <c r="Z16" s="8"/>
      <c r="AA16" s="3" t="s">
        <v>19</v>
      </c>
      <c r="AB16" s="4" t="s">
        <v>18</v>
      </c>
      <c r="AC16" s="1"/>
    </row>
    <row r="17" spans="1:29" ht="19.5" thickBot="1" x14ac:dyDescent="0.3">
      <c r="A17" s="36" t="str">
        <f t="shared" si="1"/>
        <v>UVT60215LBS 5,0x70 - LBS570R2,Rk</v>
      </c>
      <c r="B17" s="37" t="s">
        <v>22</v>
      </c>
      <c r="C17" s="43" t="s">
        <v>95</v>
      </c>
      <c r="D17" s="8" t="s">
        <v>41</v>
      </c>
      <c r="E17" s="323" t="s">
        <v>40</v>
      </c>
      <c r="F17" s="324"/>
      <c r="G17" s="44">
        <v>37.335238046649707</v>
      </c>
      <c r="H17" s="45">
        <v>62.791082169365424</v>
      </c>
      <c r="I17" s="46">
        <v>18.667619023324853</v>
      </c>
      <c r="J17" s="47">
        <v>31.395541084682712</v>
      </c>
      <c r="K17" s="171" t="s">
        <v>78</v>
      </c>
      <c r="L17" s="167" t="s">
        <v>78</v>
      </c>
      <c r="M17" s="167" t="s">
        <v>78</v>
      </c>
      <c r="N17" s="172" t="s">
        <v>78</v>
      </c>
      <c r="Y17" s="3"/>
      <c r="Z17" s="8"/>
      <c r="AA17" s="3" t="s">
        <v>21</v>
      </c>
      <c r="AB17" s="4" t="s">
        <v>18</v>
      </c>
      <c r="AC17" s="1"/>
    </row>
    <row r="18" spans="1:29" ht="19.5" thickBot="1" x14ac:dyDescent="0.3">
      <c r="A18" s="36" t="str">
        <f t="shared" si="1"/>
        <v>UVT60215LBS 5,0x70 - LBS570R3,Rk</v>
      </c>
      <c r="B18" s="37" t="s">
        <v>22</v>
      </c>
      <c r="C18" s="43" t="s">
        <v>95</v>
      </c>
      <c r="D18" s="8" t="s">
        <v>41</v>
      </c>
      <c r="E18" s="319" t="s">
        <v>43</v>
      </c>
      <c r="F18" s="320"/>
      <c r="G18" s="48">
        <v>4.6669047558312133</v>
      </c>
      <c r="H18" s="49">
        <v>7.848885271170678</v>
      </c>
      <c r="I18" s="50">
        <v>4.6669047558312133</v>
      </c>
      <c r="J18" s="51">
        <v>7.848885271170678</v>
      </c>
      <c r="K18" s="171" t="s">
        <v>78</v>
      </c>
      <c r="L18" s="167" t="s">
        <v>78</v>
      </c>
      <c r="M18" s="167" t="s">
        <v>78</v>
      </c>
      <c r="N18" s="172" t="s">
        <v>78</v>
      </c>
      <c r="Y18" s="5"/>
      <c r="Z18" s="16"/>
      <c r="AA18" s="3" t="s">
        <v>22</v>
      </c>
      <c r="AB18" s="4" t="s">
        <v>18</v>
      </c>
      <c r="AC18" s="1"/>
    </row>
    <row r="19" spans="1:29" ht="19.5" thickBot="1" x14ac:dyDescent="0.3">
      <c r="A19" s="36" t="str">
        <f t="shared" si="1"/>
        <v>UVT60215LBS 5,0x70 - LBS570R4,Rk</v>
      </c>
      <c r="B19" s="37" t="s">
        <v>22</v>
      </c>
      <c r="C19" s="43" t="s">
        <v>95</v>
      </c>
      <c r="D19" s="8" t="s">
        <v>41</v>
      </c>
      <c r="E19" s="323" t="s">
        <v>45</v>
      </c>
      <c r="F19" s="324"/>
      <c r="G19" s="44">
        <v>3.6807461709470477</v>
      </c>
      <c r="H19" s="45">
        <v>3.6807461709470477</v>
      </c>
      <c r="I19" s="46">
        <v>3.0304749918157881</v>
      </c>
      <c r="J19" s="47">
        <v>3.0304749918157881</v>
      </c>
      <c r="K19" s="171" t="s">
        <v>78</v>
      </c>
      <c r="L19" s="167" t="s">
        <v>78</v>
      </c>
      <c r="M19" s="167" t="s">
        <v>78</v>
      </c>
      <c r="N19" s="172" t="s">
        <v>78</v>
      </c>
      <c r="Y19" s="1"/>
      <c r="Z19" s="1"/>
      <c r="AA19" s="3" t="s">
        <v>24</v>
      </c>
      <c r="AB19" s="4" t="s">
        <v>18</v>
      </c>
      <c r="AC19" s="1"/>
    </row>
    <row r="20" spans="1:29" ht="18.75" customHeight="1" thickBot="1" x14ac:dyDescent="0.3">
      <c r="A20" s="67" t="str">
        <f t="shared" si="1"/>
        <v>UVT60160LBS 5,0x50 - LBS550R1,Rk</v>
      </c>
      <c r="B20" s="37" t="s">
        <v>21</v>
      </c>
      <c r="C20" s="38" t="s">
        <v>95</v>
      </c>
      <c r="D20" s="22" t="s">
        <v>32</v>
      </c>
      <c r="E20" s="321" t="s">
        <v>35</v>
      </c>
      <c r="F20" s="322"/>
      <c r="G20" s="39">
        <v>2.8980000000000001</v>
      </c>
      <c r="H20" s="40">
        <v>2.8980000000000001</v>
      </c>
      <c r="I20" s="41">
        <v>2.8980000000000001</v>
      </c>
      <c r="J20" s="42">
        <v>2.8980000000000001</v>
      </c>
      <c r="K20" s="171" t="s">
        <v>78</v>
      </c>
      <c r="L20" s="167" t="s">
        <v>78</v>
      </c>
      <c r="M20" s="167" t="s">
        <v>78</v>
      </c>
      <c r="N20" s="172" t="s">
        <v>78</v>
      </c>
      <c r="Y20" s="1"/>
      <c r="Z20" s="1"/>
      <c r="AA20" s="3" t="s">
        <v>25</v>
      </c>
      <c r="AB20" s="4" t="s">
        <v>18</v>
      </c>
      <c r="AC20" s="1"/>
    </row>
    <row r="21" spans="1:29" ht="19.5" thickBot="1" x14ac:dyDescent="0.3">
      <c r="A21" s="161" t="str">
        <f t="shared" si="1"/>
        <v>UVT60160LBS 5,0x50 - LBS550R2,Rk</v>
      </c>
      <c r="B21" s="37" t="s">
        <v>21</v>
      </c>
      <c r="C21" s="43" t="s">
        <v>95</v>
      </c>
      <c r="D21" s="8" t="s">
        <v>32</v>
      </c>
      <c r="E21" s="323" t="s">
        <v>40</v>
      </c>
      <c r="F21" s="324"/>
      <c r="G21" s="44">
        <v>28.001428534987301</v>
      </c>
      <c r="H21" s="45">
        <v>44.846162337849698</v>
      </c>
      <c r="I21" s="46">
        <v>18.667619023324853</v>
      </c>
      <c r="J21" s="47">
        <v>23.490846938873652</v>
      </c>
      <c r="K21" s="171" t="s">
        <v>78</v>
      </c>
      <c r="L21" s="167" t="s">
        <v>78</v>
      </c>
      <c r="M21" s="167" t="s">
        <v>78</v>
      </c>
      <c r="N21" s="172" t="s">
        <v>78</v>
      </c>
      <c r="Y21" s="1"/>
      <c r="Z21" s="1"/>
      <c r="AA21" s="5" t="s">
        <v>27</v>
      </c>
      <c r="AB21" s="6" t="s">
        <v>18</v>
      </c>
      <c r="AC21" s="1"/>
    </row>
    <row r="22" spans="1:29" ht="15" customHeight="1" thickBot="1" x14ac:dyDescent="0.3">
      <c r="A22" s="161" t="str">
        <f t="shared" si="1"/>
        <v>UVT60160LBS 5,0x50 - LBS550R3,Rk</v>
      </c>
      <c r="B22" s="37" t="s">
        <v>21</v>
      </c>
      <c r="C22" s="43" t="s">
        <v>95</v>
      </c>
      <c r="D22" s="8" t="s">
        <v>32</v>
      </c>
      <c r="E22" s="319" t="s">
        <v>43</v>
      </c>
      <c r="F22" s="320"/>
      <c r="G22" s="48">
        <v>4.6669047558312133</v>
      </c>
      <c r="H22" s="49">
        <v>7.848885271170678</v>
      </c>
      <c r="I22" s="50">
        <v>4.6669047558312133</v>
      </c>
      <c r="J22" s="51">
        <v>7.848885271170678</v>
      </c>
      <c r="K22" s="171" t="s">
        <v>78</v>
      </c>
      <c r="L22" s="167" t="s">
        <v>78</v>
      </c>
      <c r="M22" s="167" t="s">
        <v>78</v>
      </c>
      <c r="N22" s="172" t="s">
        <v>78</v>
      </c>
      <c r="Y22" s="1"/>
      <c r="Z22" s="1"/>
      <c r="AA22" s="1"/>
      <c r="AB22" s="1"/>
      <c r="AC22" s="1"/>
    </row>
    <row r="23" spans="1:29" ht="15.95" customHeight="1" thickBot="1" x14ac:dyDescent="0.3">
      <c r="A23" s="161" t="str">
        <f t="shared" si="1"/>
        <v>UVT60160LBS 5,0x50 - LBS550R4,Rk</v>
      </c>
      <c r="B23" s="37" t="s">
        <v>21</v>
      </c>
      <c r="C23" s="43" t="s">
        <v>95</v>
      </c>
      <c r="D23" s="8" t="s">
        <v>32</v>
      </c>
      <c r="E23" s="323" t="s">
        <v>45</v>
      </c>
      <c r="F23" s="324"/>
      <c r="G23" s="52">
        <v>3.0111356687621069</v>
      </c>
      <c r="H23" s="53">
        <v>3.0111356687621069</v>
      </c>
      <c r="I23" s="54">
        <v>2.706210035680968</v>
      </c>
      <c r="J23" s="55">
        <v>2.706210035680968</v>
      </c>
      <c r="K23" s="171" t="s">
        <v>78</v>
      </c>
      <c r="L23" s="167" t="s">
        <v>78</v>
      </c>
      <c r="M23" s="167" t="s">
        <v>78</v>
      </c>
      <c r="N23" s="172" t="s">
        <v>78</v>
      </c>
      <c r="Y23" s="9" t="e">
        <f>MATCH(E18,Y25:Y30,0)</f>
        <v>#N/A</v>
      </c>
      <c r="Z23" s="1"/>
      <c r="AA23" s="9" t="e">
        <f>MATCH(#REF!,AA25:AA28,0)</f>
        <v>#REF!</v>
      </c>
      <c r="AB23" s="9"/>
      <c r="AC23" s="9" t="e">
        <f>MATCH(#REF!,AC25:AC36,0)</f>
        <v>#REF!</v>
      </c>
    </row>
    <row r="24" spans="1:29" ht="15" customHeight="1" thickBot="1" x14ac:dyDescent="0.3">
      <c r="A24" s="161" t="str">
        <f t="shared" si="1"/>
        <v>UVT60160LBS 5,0x60 - LBS560R1,Rk</v>
      </c>
      <c r="B24" s="37" t="s">
        <v>21</v>
      </c>
      <c r="C24" s="43" t="s">
        <v>95</v>
      </c>
      <c r="D24" s="8" t="s">
        <v>37</v>
      </c>
      <c r="E24" s="325" t="s">
        <v>35</v>
      </c>
      <c r="F24" s="326"/>
      <c r="G24" s="56">
        <v>3.528</v>
      </c>
      <c r="H24" s="57">
        <v>3.528</v>
      </c>
      <c r="I24" s="58">
        <v>3.528</v>
      </c>
      <c r="J24" s="59">
        <v>3.528</v>
      </c>
      <c r="K24" s="171" t="s">
        <v>78</v>
      </c>
      <c r="L24" s="167" t="s">
        <v>78</v>
      </c>
      <c r="M24" s="167" t="s">
        <v>78</v>
      </c>
      <c r="N24" s="172" t="s">
        <v>78</v>
      </c>
      <c r="Y24" s="10" t="s">
        <v>29</v>
      </c>
      <c r="Z24" s="1"/>
      <c r="AA24" s="10" t="s">
        <v>30</v>
      </c>
      <c r="AB24" s="10"/>
      <c r="AC24" s="10" t="s">
        <v>31</v>
      </c>
    </row>
    <row r="25" spans="1:29" ht="15" customHeight="1" thickBot="1" x14ac:dyDescent="0.3">
      <c r="A25" s="161" t="str">
        <f t="shared" si="1"/>
        <v>UVT60160LBS 5,0x60 - LBS560R2,Rk</v>
      </c>
      <c r="B25" s="37" t="s">
        <v>21</v>
      </c>
      <c r="C25" s="43" t="s">
        <v>95</v>
      </c>
      <c r="D25" s="8" t="s">
        <v>37</v>
      </c>
      <c r="E25" s="323" t="s">
        <v>40</v>
      </c>
      <c r="F25" s="324"/>
      <c r="G25" s="44">
        <v>28.001428534987276</v>
      </c>
      <c r="H25" s="45">
        <v>47.093311627024065</v>
      </c>
      <c r="I25" s="46">
        <v>18.667619023324853</v>
      </c>
      <c r="J25" s="47">
        <v>24.934596938873646</v>
      </c>
      <c r="K25" s="171" t="s">
        <v>78</v>
      </c>
      <c r="L25" s="167" t="s">
        <v>78</v>
      </c>
      <c r="M25" s="167" t="s">
        <v>78</v>
      </c>
      <c r="N25" s="172" t="s">
        <v>78</v>
      </c>
      <c r="Y25" s="8" t="s">
        <v>32</v>
      </c>
      <c r="Z25" s="8"/>
      <c r="AA25" s="8" t="s">
        <v>33</v>
      </c>
      <c r="AB25" s="8" t="s">
        <v>12</v>
      </c>
      <c r="AC25" s="8" t="s">
        <v>34</v>
      </c>
    </row>
    <row r="26" spans="1:29" ht="15" customHeight="1" thickBot="1" x14ac:dyDescent="0.3">
      <c r="A26" s="161" t="str">
        <f t="shared" si="1"/>
        <v>UVT60160LBS 5,0x60 - LBS560R3,Rk</v>
      </c>
      <c r="B26" s="37" t="s">
        <v>21</v>
      </c>
      <c r="C26" s="43" t="s">
        <v>95</v>
      </c>
      <c r="D26" s="8" t="s">
        <v>37</v>
      </c>
      <c r="E26" s="319" t="s">
        <v>43</v>
      </c>
      <c r="F26" s="320"/>
      <c r="G26" s="48">
        <v>4.6669047558312133</v>
      </c>
      <c r="H26" s="49">
        <v>7.848885271170678</v>
      </c>
      <c r="I26" s="50">
        <v>4.6669047558312133</v>
      </c>
      <c r="J26" s="51">
        <v>7.848885271170678</v>
      </c>
      <c r="K26" s="171" t="s">
        <v>78</v>
      </c>
      <c r="L26" s="167" t="s">
        <v>78</v>
      </c>
      <c r="M26" s="167" t="s">
        <v>78</v>
      </c>
      <c r="N26" s="172" t="s">
        <v>78</v>
      </c>
      <c r="Y26" s="8" t="s">
        <v>37</v>
      </c>
      <c r="Z26" s="8"/>
      <c r="AA26" s="8" t="s">
        <v>38</v>
      </c>
      <c r="AB26" s="8" t="s">
        <v>12</v>
      </c>
      <c r="AC26" s="8"/>
    </row>
    <row r="27" spans="1:29" ht="18.75" customHeight="1" thickBot="1" x14ac:dyDescent="0.3">
      <c r="A27" s="161" t="str">
        <f t="shared" si="1"/>
        <v>UVT60160LBS 5,0x60 - LBS560R4,Rk</v>
      </c>
      <c r="B27" s="37" t="s">
        <v>21</v>
      </c>
      <c r="C27" s="43" t="s">
        <v>95</v>
      </c>
      <c r="D27" s="8" t="s">
        <v>37</v>
      </c>
      <c r="E27" s="323" t="s">
        <v>45</v>
      </c>
      <c r="F27" s="324"/>
      <c r="G27" s="52">
        <v>3.1478775871960898</v>
      </c>
      <c r="H27" s="53">
        <v>3.1478775871960898</v>
      </c>
      <c r="I27" s="54">
        <v>2.8291046484356444</v>
      </c>
      <c r="J27" s="55">
        <v>2.8291046484356444</v>
      </c>
      <c r="K27" s="171" t="s">
        <v>78</v>
      </c>
      <c r="L27" s="167" t="s">
        <v>78</v>
      </c>
      <c r="M27" s="167" t="s">
        <v>78</v>
      </c>
      <c r="N27" s="172" t="s">
        <v>78</v>
      </c>
      <c r="Y27" s="8" t="s">
        <v>41</v>
      </c>
      <c r="Z27" s="8"/>
      <c r="AA27" s="8" t="s">
        <v>42</v>
      </c>
      <c r="AB27" s="8" t="s">
        <v>18</v>
      </c>
      <c r="AC27" s="8"/>
    </row>
    <row r="28" spans="1:29" ht="19.5" thickBot="1" x14ac:dyDescent="0.3">
      <c r="A28" s="161" t="str">
        <f t="shared" si="1"/>
        <v>UVT60160LBS 5,0x70 - LBS570R1,Rk</v>
      </c>
      <c r="B28" s="37" t="s">
        <v>21</v>
      </c>
      <c r="C28" s="43" t="s">
        <v>95</v>
      </c>
      <c r="D28" s="8" t="s">
        <v>41</v>
      </c>
      <c r="E28" s="325" t="s">
        <v>35</v>
      </c>
      <c r="F28" s="326"/>
      <c r="G28" s="56">
        <v>4.1579999999999995</v>
      </c>
      <c r="H28" s="57">
        <v>4.1579999999999995</v>
      </c>
      <c r="I28" s="58">
        <v>4.1579999999999995</v>
      </c>
      <c r="J28" s="59">
        <v>4.1579999999999995</v>
      </c>
      <c r="K28" s="171" t="s">
        <v>78</v>
      </c>
      <c r="L28" s="167" t="s">
        <v>78</v>
      </c>
      <c r="M28" s="167" t="s">
        <v>78</v>
      </c>
      <c r="N28" s="172" t="s">
        <v>78</v>
      </c>
      <c r="Y28" s="1"/>
      <c r="Z28" s="8"/>
      <c r="AA28" s="8" t="s">
        <v>44</v>
      </c>
      <c r="AB28" s="8" t="s">
        <v>18</v>
      </c>
      <c r="AC28" s="8"/>
    </row>
    <row r="29" spans="1:29" ht="19.5" thickBot="1" x14ac:dyDescent="0.3">
      <c r="A29" s="161" t="str">
        <f t="shared" si="1"/>
        <v>UVT60160LBS 5,0x70 - LBS570R2,Rk</v>
      </c>
      <c r="B29" s="37" t="s">
        <v>21</v>
      </c>
      <c r="C29" s="43" t="s">
        <v>95</v>
      </c>
      <c r="D29" s="8" t="s">
        <v>41</v>
      </c>
      <c r="E29" s="323" t="s">
        <v>40</v>
      </c>
      <c r="F29" s="324"/>
      <c r="G29" s="44">
        <v>28.001428534987276</v>
      </c>
      <c r="H29" s="45">
        <v>47.093311627024065</v>
      </c>
      <c r="I29" s="46">
        <v>18.667619023324853</v>
      </c>
      <c r="J29" s="47">
        <v>26.378346938873648</v>
      </c>
      <c r="K29" s="171" t="s">
        <v>78</v>
      </c>
      <c r="L29" s="167" t="s">
        <v>78</v>
      </c>
      <c r="M29" s="167" t="s">
        <v>78</v>
      </c>
      <c r="N29" s="172" t="s">
        <v>78</v>
      </c>
      <c r="Y29" s="1"/>
      <c r="Z29" s="2"/>
      <c r="AA29" s="2"/>
      <c r="AB29" s="2"/>
      <c r="AC29" s="2"/>
    </row>
    <row r="30" spans="1:29" ht="19.5" thickBot="1" x14ac:dyDescent="0.3">
      <c r="A30" s="161" t="str">
        <f t="shared" si="1"/>
        <v>UVT60160LBS 5,0x70 - LBS570R3,Rk</v>
      </c>
      <c r="B30" s="37" t="s">
        <v>21</v>
      </c>
      <c r="C30" s="43" t="s">
        <v>95</v>
      </c>
      <c r="D30" s="8" t="s">
        <v>41</v>
      </c>
      <c r="E30" s="319" t="s">
        <v>43</v>
      </c>
      <c r="F30" s="320"/>
      <c r="G30" s="48">
        <v>4.6669047558312133</v>
      </c>
      <c r="H30" s="49">
        <v>7.848885271170678</v>
      </c>
      <c r="I30" s="50">
        <v>4.6669047558312133</v>
      </c>
      <c r="J30" s="51">
        <v>7.848885271170678</v>
      </c>
      <c r="K30" s="171" t="s">
        <v>78</v>
      </c>
      <c r="L30" s="167" t="s">
        <v>78</v>
      </c>
      <c r="M30" s="167" t="s">
        <v>78</v>
      </c>
      <c r="N30" s="172" t="s">
        <v>78</v>
      </c>
      <c r="Y30" s="1"/>
      <c r="Z30" s="1"/>
      <c r="AA30" s="2"/>
      <c r="AB30" s="2"/>
      <c r="AC30" s="2"/>
    </row>
    <row r="31" spans="1:29" ht="19.5" thickBot="1" x14ac:dyDescent="0.3">
      <c r="A31" s="162" t="str">
        <f t="shared" si="1"/>
        <v>UVT60160LBS 5,0x70 - LBS570R4,Rk</v>
      </c>
      <c r="B31" s="165" t="s">
        <v>21</v>
      </c>
      <c r="C31" s="64" t="s">
        <v>95</v>
      </c>
      <c r="D31" s="16" t="s">
        <v>41</v>
      </c>
      <c r="E31" s="327" t="s">
        <v>45</v>
      </c>
      <c r="F31" s="328"/>
      <c r="G31" s="60">
        <v>3.2846195056300731</v>
      </c>
      <c r="H31" s="61">
        <v>3.2846195056300731</v>
      </c>
      <c r="I31" s="62">
        <v>2.9519992611903212</v>
      </c>
      <c r="J31" s="63">
        <v>2.9519992611903212</v>
      </c>
      <c r="K31" s="171" t="s">
        <v>78</v>
      </c>
      <c r="L31" s="167" t="s">
        <v>78</v>
      </c>
      <c r="M31" s="167" t="s">
        <v>78</v>
      </c>
      <c r="N31" s="172" t="s">
        <v>78</v>
      </c>
      <c r="Y31" s="11"/>
      <c r="Z31" s="329" t="s">
        <v>4</v>
      </c>
      <c r="AA31" s="2"/>
      <c r="AB31" s="2"/>
      <c r="AC31" s="2"/>
    </row>
    <row r="32" spans="1:29" ht="18.75" customHeight="1" thickBot="1" x14ac:dyDescent="0.3">
      <c r="A32" s="67" t="str">
        <f t="shared" si="1"/>
        <v>UVT60115LBS 5,0x50 - LBS550R1,Rk</v>
      </c>
      <c r="B32" s="37" t="s">
        <v>19</v>
      </c>
      <c r="C32" s="38" t="s">
        <v>95</v>
      </c>
      <c r="D32" s="22" t="s">
        <v>32</v>
      </c>
      <c r="E32" s="321" t="s">
        <v>35</v>
      </c>
      <c r="F32" s="322"/>
      <c r="G32" s="39">
        <v>1.4490000000000001</v>
      </c>
      <c r="H32" s="40">
        <v>1.4490000000000001</v>
      </c>
      <c r="I32" s="41">
        <v>1.4490000000000001</v>
      </c>
      <c r="J32" s="42">
        <v>1.4490000000000001</v>
      </c>
      <c r="K32" s="171" t="s">
        <v>78</v>
      </c>
      <c r="L32" s="167" t="s">
        <v>78</v>
      </c>
      <c r="M32" s="167" t="s">
        <v>78</v>
      </c>
      <c r="N32" s="172" t="s">
        <v>78</v>
      </c>
      <c r="Y32" s="12"/>
      <c r="Z32" s="330"/>
      <c r="AA32" s="2"/>
      <c r="AB32" s="2"/>
      <c r="AC32" s="2"/>
    </row>
    <row r="33" spans="1:29" ht="19.5" thickBot="1" x14ac:dyDescent="0.3">
      <c r="A33" s="161" t="str">
        <f t="shared" si="1"/>
        <v>UVT60115LBS 5,0x50 - LBS550R2,Rk</v>
      </c>
      <c r="B33" s="37" t="s">
        <v>19</v>
      </c>
      <c r="C33" s="43" t="s">
        <v>95</v>
      </c>
      <c r="D33" s="8" t="s">
        <v>32</v>
      </c>
      <c r="E33" s="323" t="s">
        <v>40</v>
      </c>
      <c r="F33" s="324"/>
      <c r="G33" s="44">
        <v>28.001428534987276</v>
      </c>
      <c r="H33" s="45">
        <v>32.032973098464069</v>
      </c>
      <c r="I33" s="46">
        <v>17.084252319180838</v>
      </c>
      <c r="J33" s="47">
        <v>17.084252319180838</v>
      </c>
      <c r="K33" s="171" t="s">
        <v>78</v>
      </c>
      <c r="L33" s="167" t="s">
        <v>78</v>
      </c>
      <c r="M33" s="167" t="s">
        <v>78</v>
      </c>
      <c r="N33" s="172" t="s">
        <v>78</v>
      </c>
      <c r="Y33" s="13" t="s">
        <v>28</v>
      </c>
      <c r="Z33" s="20" t="e">
        <f>INDEX($Z$26:$AA$27,Y12,2)</f>
        <v>#N/A</v>
      </c>
      <c r="AA33" s="2"/>
      <c r="AB33" s="2"/>
      <c r="AC33" s="2"/>
    </row>
    <row r="34" spans="1:29" ht="19.5" thickBot="1" x14ac:dyDescent="0.3">
      <c r="A34" s="161" t="str">
        <f t="shared" si="1"/>
        <v>UVT60115LBS 5,0x50 - LBS550R3,Rk</v>
      </c>
      <c r="B34" s="37" t="s">
        <v>19</v>
      </c>
      <c r="C34" s="43" t="s">
        <v>95</v>
      </c>
      <c r="D34" s="8" t="s">
        <v>32</v>
      </c>
      <c r="E34" s="319" t="s">
        <v>43</v>
      </c>
      <c r="F34" s="320"/>
      <c r="G34" s="48">
        <v>4.6669047558312133</v>
      </c>
      <c r="H34" s="49">
        <v>7.848885271170678</v>
      </c>
      <c r="I34" s="50">
        <v>4.6669047558312133</v>
      </c>
      <c r="J34" s="51">
        <v>7.848885271170678</v>
      </c>
      <c r="K34" s="171" t="s">
        <v>78</v>
      </c>
      <c r="L34" s="167" t="s">
        <v>78</v>
      </c>
      <c r="M34" s="167" t="s">
        <v>78</v>
      </c>
      <c r="N34" s="172" t="s">
        <v>78</v>
      </c>
      <c r="Y34" s="3" t="s">
        <v>47</v>
      </c>
      <c r="Z34" s="65" t="s">
        <v>48</v>
      </c>
      <c r="AA34" s="2"/>
      <c r="AB34" s="2"/>
      <c r="AC34" s="2"/>
    </row>
    <row r="35" spans="1:29" ht="19.5" thickBot="1" x14ac:dyDescent="0.3">
      <c r="A35" s="161" t="str">
        <f t="shared" si="1"/>
        <v>UVT60115LBS 5,0x50 - LBS550R4,Rk</v>
      </c>
      <c r="B35" s="37" t="s">
        <v>19</v>
      </c>
      <c r="C35" s="43" t="s">
        <v>95</v>
      </c>
      <c r="D35" s="8" t="s">
        <v>32</v>
      </c>
      <c r="E35" s="323" t="s">
        <v>45</v>
      </c>
      <c r="F35" s="324"/>
      <c r="G35" s="52">
        <v>2.5861075687796791</v>
      </c>
      <c r="H35" s="53">
        <v>2.5861075687796791</v>
      </c>
      <c r="I35" s="54">
        <v>2.1822060683311588</v>
      </c>
      <c r="J35" s="55">
        <v>2.1822060683311588</v>
      </c>
      <c r="K35" s="171" t="s">
        <v>78</v>
      </c>
      <c r="L35" s="167" t="s">
        <v>78</v>
      </c>
      <c r="M35" s="167" t="s">
        <v>78</v>
      </c>
      <c r="N35" s="172" t="s">
        <v>78</v>
      </c>
      <c r="Y35" s="5" t="s">
        <v>49</v>
      </c>
      <c r="Z35" s="66" t="s">
        <v>50</v>
      </c>
      <c r="AA35" s="2"/>
      <c r="AB35" s="2"/>
      <c r="AC35" s="2"/>
    </row>
    <row r="36" spans="1:29" ht="19.5" thickBot="1" x14ac:dyDescent="0.3">
      <c r="A36" s="161" t="str">
        <f t="shared" si="1"/>
        <v>UVT60115LBS 5,0x60 - LBS560R1,Rk</v>
      </c>
      <c r="B36" s="37" t="s">
        <v>19</v>
      </c>
      <c r="C36" s="43" t="s">
        <v>95</v>
      </c>
      <c r="D36" s="8" t="s">
        <v>37</v>
      </c>
      <c r="E36" s="325" t="s">
        <v>35</v>
      </c>
      <c r="F36" s="326"/>
      <c r="G36" s="56">
        <v>1.764</v>
      </c>
      <c r="H36" s="57">
        <v>1.764</v>
      </c>
      <c r="I36" s="58">
        <v>1.764</v>
      </c>
      <c r="J36" s="59">
        <v>1.764</v>
      </c>
      <c r="K36" s="171" t="s">
        <v>78</v>
      </c>
      <c r="L36" s="167" t="s">
        <v>78</v>
      </c>
      <c r="M36" s="167" t="s">
        <v>78</v>
      </c>
      <c r="N36" s="172" t="s">
        <v>78</v>
      </c>
      <c r="Y36" s="1"/>
      <c r="Z36" s="1"/>
      <c r="AA36" s="2"/>
      <c r="AB36" s="2"/>
      <c r="AC36" s="2"/>
    </row>
    <row r="37" spans="1:29" ht="19.5" thickBot="1" x14ac:dyDescent="0.3">
      <c r="A37" s="161" t="str">
        <f t="shared" si="1"/>
        <v>UVT60115LBS 5,0x60 - LBS560R2,Rk</v>
      </c>
      <c r="B37" s="37" t="s">
        <v>19</v>
      </c>
      <c r="C37" s="43" t="s">
        <v>95</v>
      </c>
      <c r="D37" s="8" t="s">
        <v>37</v>
      </c>
      <c r="E37" s="323" t="s">
        <v>40</v>
      </c>
      <c r="F37" s="324"/>
      <c r="G37" s="44">
        <v>28.001428534987276</v>
      </c>
      <c r="H37" s="45">
        <v>34.001723098464062</v>
      </c>
      <c r="I37" s="46">
        <v>18.134252319180835</v>
      </c>
      <c r="J37" s="47">
        <v>18.134252319180835</v>
      </c>
      <c r="K37" s="171" t="s">
        <v>78</v>
      </c>
      <c r="L37" s="167" t="s">
        <v>78</v>
      </c>
      <c r="M37" s="167" t="s">
        <v>78</v>
      </c>
      <c r="N37" s="172" t="s">
        <v>78</v>
      </c>
    </row>
    <row r="38" spans="1:29" ht="19.5" thickBot="1" x14ac:dyDescent="0.3">
      <c r="A38" s="161" t="str">
        <f t="shared" si="1"/>
        <v>UVT60115LBS 5,0x60 - LBS560R3,Rk</v>
      </c>
      <c r="B38" s="37" t="s">
        <v>19</v>
      </c>
      <c r="C38" s="43" t="s">
        <v>95</v>
      </c>
      <c r="D38" s="8" t="s">
        <v>37</v>
      </c>
      <c r="E38" s="319" t="s">
        <v>43</v>
      </c>
      <c r="F38" s="320"/>
      <c r="G38" s="48">
        <v>4.6669047558312133</v>
      </c>
      <c r="H38" s="49">
        <v>7.848885271170678</v>
      </c>
      <c r="I38" s="50">
        <v>4.6669047558312133</v>
      </c>
      <c r="J38" s="51">
        <v>7.848885271170678</v>
      </c>
      <c r="K38" s="171" t="s">
        <v>78</v>
      </c>
      <c r="L38" s="167" t="s">
        <v>78</v>
      </c>
      <c r="M38" s="167" t="s">
        <v>78</v>
      </c>
      <c r="N38" s="172" t="s">
        <v>78</v>
      </c>
    </row>
    <row r="39" spans="1:29" ht="19.5" thickBot="1" x14ac:dyDescent="0.3">
      <c r="A39" s="161" t="str">
        <f t="shared" si="1"/>
        <v>UVT60115LBS 5,0x60 - LBS560R4,Rk</v>
      </c>
      <c r="B39" s="37" t="s">
        <v>19</v>
      </c>
      <c r="C39" s="43" t="s">
        <v>95</v>
      </c>
      <c r="D39" s="8" t="s">
        <v>37</v>
      </c>
      <c r="E39" s="323" t="s">
        <v>45</v>
      </c>
      <c r="F39" s="324"/>
      <c r="G39" s="52">
        <v>2.7035480793153455</v>
      </c>
      <c r="H39" s="53">
        <v>2.7035480793153455</v>
      </c>
      <c r="I39" s="54">
        <v>2.2813045736882942</v>
      </c>
      <c r="J39" s="55">
        <v>2.2813045736882942</v>
      </c>
      <c r="K39" s="171" t="s">
        <v>78</v>
      </c>
      <c r="L39" s="167" t="s">
        <v>78</v>
      </c>
      <c r="M39" s="167" t="s">
        <v>78</v>
      </c>
      <c r="N39" s="172" t="s">
        <v>78</v>
      </c>
    </row>
    <row r="40" spans="1:29" ht="19.5" thickBot="1" x14ac:dyDescent="0.3">
      <c r="A40" s="161" t="str">
        <f t="shared" si="1"/>
        <v>UVT60115LBS 5,0x70 - LBS570R1,Rk</v>
      </c>
      <c r="B40" s="37" t="s">
        <v>19</v>
      </c>
      <c r="C40" s="43" t="s">
        <v>95</v>
      </c>
      <c r="D40" s="8" t="s">
        <v>41</v>
      </c>
      <c r="E40" s="325" t="s">
        <v>35</v>
      </c>
      <c r="F40" s="326"/>
      <c r="G40" s="56">
        <v>2.0789999999999997</v>
      </c>
      <c r="H40" s="57">
        <v>2.0789999999999997</v>
      </c>
      <c r="I40" s="58">
        <v>2.0789999999999997</v>
      </c>
      <c r="J40" s="59">
        <v>2.0789999999999997</v>
      </c>
      <c r="K40" s="171" t="s">
        <v>78</v>
      </c>
      <c r="L40" s="167" t="s">
        <v>78</v>
      </c>
      <c r="M40" s="167" t="s">
        <v>78</v>
      </c>
      <c r="N40" s="172" t="s">
        <v>78</v>
      </c>
    </row>
    <row r="41" spans="1:29" ht="15" customHeight="1" thickBot="1" x14ac:dyDescent="0.3">
      <c r="A41" s="161" t="str">
        <f t="shared" si="1"/>
        <v>UVT60115LBS 5,0x70 - LBS570R2,Rk</v>
      </c>
      <c r="B41" s="37" t="s">
        <v>19</v>
      </c>
      <c r="C41" s="43" t="s">
        <v>95</v>
      </c>
      <c r="D41" s="8" t="s">
        <v>41</v>
      </c>
      <c r="E41" s="323" t="s">
        <v>40</v>
      </c>
      <c r="F41" s="324"/>
      <c r="G41" s="44">
        <v>28.001428534987276</v>
      </c>
      <c r="H41" s="45">
        <v>35.970473098464069</v>
      </c>
      <c r="I41" s="46">
        <v>18.667619023324853</v>
      </c>
      <c r="J41" s="47">
        <v>19.184252319180835</v>
      </c>
      <c r="K41" s="171" t="s">
        <v>78</v>
      </c>
      <c r="L41" s="167" t="s">
        <v>78</v>
      </c>
      <c r="M41" s="167" t="s">
        <v>78</v>
      </c>
      <c r="N41" s="172" t="s">
        <v>78</v>
      </c>
    </row>
    <row r="42" spans="1:29" ht="15.95" customHeight="1" thickBot="1" x14ac:dyDescent="0.3">
      <c r="A42" s="161" t="str">
        <f t="shared" si="1"/>
        <v>UVT60115LBS 5,0x70 - LBS570R3,Rk</v>
      </c>
      <c r="B42" s="37" t="s">
        <v>19</v>
      </c>
      <c r="C42" s="43" t="s">
        <v>95</v>
      </c>
      <c r="D42" s="8" t="s">
        <v>41</v>
      </c>
      <c r="E42" s="319" t="s">
        <v>43</v>
      </c>
      <c r="F42" s="320"/>
      <c r="G42" s="48">
        <v>4.6669047558312133</v>
      </c>
      <c r="H42" s="49">
        <v>7.848885271170678</v>
      </c>
      <c r="I42" s="50">
        <v>4.6669047558312133</v>
      </c>
      <c r="J42" s="51">
        <v>7.848885271170678</v>
      </c>
      <c r="K42" s="171" t="s">
        <v>78</v>
      </c>
      <c r="L42" s="167" t="s">
        <v>78</v>
      </c>
      <c r="M42" s="167" t="s">
        <v>78</v>
      </c>
      <c r="N42" s="172" t="s">
        <v>78</v>
      </c>
    </row>
    <row r="43" spans="1:29" ht="15" customHeight="1" thickBot="1" x14ac:dyDescent="0.3">
      <c r="A43" s="162" t="str">
        <f t="shared" si="1"/>
        <v>UVT60115LBS 5,0x70 - LBS570R4,Rk</v>
      </c>
      <c r="B43" s="165" t="s">
        <v>19</v>
      </c>
      <c r="C43" s="64" t="s">
        <v>95</v>
      </c>
      <c r="D43" s="16" t="s">
        <v>41</v>
      </c>
      <c r="E43" s="327" t="s">
        <v>45</v>
      </c>
      <c r="F43" s="328"/>
      <c r="G43" s="60">
        <v>2.8209885898510119</v>
      </c>
      <c r="H43" s="61">
        <v>2.8209885898510119</v>
      </c>
      <c r="I43" s="62">
        <v>2.3804030790454291</v>
      </c>
      <c r="J43" s="63">
        <v>2.3804030790454291</v>
      </c>
      <c r="K43" s="171" t="s">
        <v>78</v>
      </c>
      <c r="L43" s="167" t="s">
        <v>78</v>
      </c>
      <c r="M43" s="167" t="s">
        <v>78</v>
      </c>
      <c r="N43" s="172" t="s">
        <v>78</v>
      </c>
    </row>
    <row r="44" spans="1:29" ht="15" customHeight="1" thickBot="1" x14ac:dyDescent="0.3">
      <c r="A44" s="67" t="str">
        <f t="shared" si="1"/>
        <v>UVT4085LBS 5,0x50 - LBS550R1,Rk</v>
      </c>
      <c r="B44" s="37" t="s">
        <v>17</v>
      </c>
      <c r="C44" s="38" t="s">
        <v>95</v>
      </c>
      <c r="D44" s="22" t="s">
        <v>32</v>
      </c>
      <c r="E44" s="321" t="s">
        <v>35</v>
      </c>
      <c r="F44" s="322"/>
      <c r="G44" s="39">
        <v>1.4490000000000001</v>
      </c>
      <c r="H44" s="40">
        <v>1.4490000000000001</v>
      </c>
      <c r="I44" s="41">
        <v>1.4490000000000001</v>
      </c>
      <c r="J44" s="42">
        <v>1.4490000000000001</v>
      </c>
      <c r="K44" s="171" t="s">
        <v>78</v>
      </c>
      <c r="L44" s="167" t="s">
        <v>78</v>
      </c>
      <c r="M44" s="167" t="s">
        <v>78</v>
      </c>
      <c r="N44" s="172" t="s">
        <v>78</v>
      </c>
    </row>
    <row r="45" spans="1:29" ht="19.5" thickBot="1" x14ac:dyDescent="0.3">
      <c r="A45" s="161" t="str">
        <f t="shared" si="1"/>
        <v>UVT4085LBS 5,0x50 - LBS550R2,Rk</v>
      </c>
      <c r="B45" s="37" t="s">
        <v>17</v>
      </c>
      <c r="C45" s="43" t="s">
        <v>95</v>
      </c>
      <c r="D45" s="8" t="s">
        <v>32</v>
      </c>
      <c r="E45" s="323" t="s">
        <v>40</v>
      </c>
      <c r="F45" s="324"/>
      <c r="G45" s="44">
        <v>18.667619023324853</v>
      </c>
      <c r="H45" s="45">
        <v>19.219783859078444</v>
      </c>
      <c r="I45" s="46">
        <v>10.677657699488023</v>
      </c>
      <c r="J45" s="47">
        <v>10.677657699488023</v>
      </c>
      <c r="K45" s="171" t="s">
        <v>78</v>
      </c>
      <c r="L45" s="167" t="s">
        <v>78</v>
      </c>
      <c r="M45" s="167" t="s">
        <v>78</v>
      </c>
      <c r="N45" s="172" t="s">
        <v>78</v>
      </c>
    </row>
    <row r="46" spans="1:29" ht="18.75" customHeight="1" thickBot="1" x14ac:dyDescent="0.3">
      <c r="A46" s="161" t="str">
        <f t="shared" si="1"/>
        <v>UVT4085LBS 5,0x50 - LBS550R3,Rk</v>
      </c>
      <c r="B46" s="37" t="s">
        <v>17</v>
      </c>
      <c r="C46" s="43" t="s">
        <v>95</v>
      </c>
      <c r="D46" s="8" t="s">
        <v>32</v>
      </c>
      <c r="E46" s="319" t="s">
        <v>43</v>
      </c>
      <c r="F46" s="320"/>
      <c r="G46" s="48">
        <v>4.6669047558312133</v>
      </c>
      <c r="H46" s="49">
        <v>7.848885271170678</v>
      </c>
      <c r="I46" s="50">
        <v>4.6669047558312133</v>
      </c>
      <c r="J46" s="51">
        <v>7.848885271170678</v>
      </c>
      <c r="K46" s="171" t="s">
        <v>78</v>
      </c>
      <c r="L46" s="167" t="s">
        <v>78</v>
      </c>
      <c r="M46" s="167" t="s">
        <v>78</v>
      </c>
      <c r="N46" s="172" t="s">
        <v>78</v>
      </c>
    </row>
    <row r="47" spans="1:29" ht="19.5" thickBot="1" x14ac:dyDescent="0.3">
      <c r="A47" s="161" t="str">
        <f t="shared" si="1"/>
        <v>UVT4085LBS 5,0x50 - LBS550R4,Rk</v>
      </c>
      <c r="B47" s="37" t="s">
        <v>17</v>
      </c>
      <c r="C47" s="43" t="s">
        <v>95</v>
      </c>
      <c r="D47" s="8" t="s">
        <v>32</v>
      </c>
      <c r="E47" s="323" t="s">
        <v>45</v>
      </c>
      <c r="F47" s="324"/>
      <c r="G47" s="52">
        <v>1.4996516271462794</v>
      </c>
      <c r="H47" s="53">
        <v>1.4996516271462794</v>
      </c>
      <c r="I47" s="54">
        <v>1.4996516271462794</v>
      </c>
      <c r="J47" s="55">
        <v>1.4996516271462794</v>
      </c>
      <c r="K47" s="171" t="s">
        <v>78</v>
      </c>
      <c r="L47" s="167" t="s">
        <v>78</v>
      </c>
      <c r="M47" s="167" t="s">
        <v>78</v>
      </c>
      <c r="N47" s="172" t="s">
        <v>78</v>
      </c>
    </row>
    <row r="48" spans="1:29" ht="19.5" thickBot="1" x14ac:dyDescent="0.3">
      <c r="A48" s="161" t="str">
        <f t="shared" si="1"/>
        <v>UVT4085LBS 5,0x60 - LBS560R1,Rk</v>
      </c>
      <c r="B48" s="37" t="s">
        <v>17</v>
      </c>
      <c r="C48" s="43" t="s">
        <v>95</v>
      </c>
      <c r="D48" s="8" t="s">
        <v>37</v>
      </c>
      <c r="E48" s="325" t="s">
        <v>35</v>
      </c>
      <c r="F48" s="326"/>
      <c r="G48" s="56">
        <v>1.764</v>
      </c>
      <c r="H48" s="57">
        <v>1.764</v>
      </c>
      <c r="I48" s="58">
        <v>1.764</v>
      </c>
      <c r="J48" s="59">
        <v>1.764</v>
      </c>
      <c r="K48" s="171" t="s">
        <v>78</v>
      </c>
      <c r="L48" s="167" t="s">
        <v>78</v>
      </c>
      <c r="M48" s="167" t="s">
        <v>78</v>
      </c>
      <c r="N48" s="172" t="s">
        <v>78</v>
      </c>
    </row>
    <row r="49" spans="1:14" ht="19.5" thickBot="1" x14ac:dyDescent="0.3">
      <c r="A49" s="161" t="str">
        <f t="shared" si="1"/>
        <v>UVT4085LBS 5,0x60 - LBS560R2,Rk</v>
      </c>
      <c r="B49" s="37" t="s">
        <v>17</v>
      </c>
      <c r="C49" s="43" t="s">
        <v>95</v>
      </c>
      <c r="D49" s="8" t="s">
        <v>37</v>
      </c>
      <c r="E49" s="323" t="s">
        <v>40</v>
      </c>
      <c r="F49" s="324"/>
      <c r="G49" s="44">
        <v>18.667619023324853</v>
      </c>
      <c r="H49" s="45">
        <v>20.401033859078439</v>
      </c>
      <c r="I49" s="46">
        <v>11.333907699488021</v>
      </c>
      <c r="J49" s="47">
        <v>11.333907699488021</v>
      </c>
      <c r="K49" s="171" t="s">
        <v>78</v>
      </c>
      <c r="L49" s="167" t="s">
        <v>78</v>
      </c>
      <c r="M49" s="167" t="s">
        <v>78</v>
      </c>
      <c r="N49" s="172" t="s">
        <v>78</v>
      </c>
    </row>
    <row r="50" spans="1:14" ht="19.5" thickBot="1" x14ac:dyDescent="0.3">
      <c r="A50" s="161" t="str">
        <f t="shared" si="1"/>
        <v>UVT4085LBS 5,0x60 - LBS560R3,Rk</v>
      </c>
      <c r="B50" s="37" t="s">
        <v>17</v>
      </c>
      <c r="C50" s="43" t="s">
        <v>95</v>
      </c>
      <c r="D50" s="8" t="s">
        <v>37</v>
      </c>
      <c r="E50" s="319" t="s">
        <v>43</v>
      </c>
      <c r="F50" s="320"/>
      <c r="G50" s="48">
        <v>4.6669047558312133</v>
      </c>
      <c r="H50" s="49">
        <v>7.848885271170678</v>
      </c>
      <c r="I50" s="50">
        <v>4.6669047558312133</v>
      </c>
      <c r="J50" s="51">
        <v>7.848885271170678</v>
      </c>
      <c r="K50" s="171" t="s">
        <v>78</v>
      </c>
      <c r="L50" s="167" t="s">
        <v>78</v>
      </c>
      <c r="M50" s="167" t="s">
        <v>78</v>
      </c>
      <c r="N50" s="172" t="s">
        <v>78</v>
      </c>
    </row>
    <row r="51" spans="1:14" ht="19.5" thickBot="1" x14ac:dyDescent="0.3">
      <c r="A51" s="161" t="str">
        <f t="shared" si="1"/>
        <v>UVT4085LBS 5,0x60 - LBS560R4,Rk</v>
      </c>
      <c r="B51" s="37" t="s">
        <v>17</v>
      </c>
      <c r="C51" s="43" t="s">
        <v>95</v>
      </c>
      <c r="D51" s="8" t="s">
        <v>37</v>
      </c>
      <c r="E51" s="323" t="s">
        <v>45</v>
      </c>
      <c r="F51" s="324"/>
      <c r="G51" s="52">
        <v>1.5677539191173782</v>
      </c>
      <c r="H51" s="53">
        <v>1.5677539191173782</v>
      </c>
      <c r="I51" s="54">
        <v>1.5677539191173782</v>
      </c>
      <c r="J51" s="55">
        <v>1.5677539191173782</v>
      </c>
      <c r="K51" s="171" t="s">
        <v>78</v>
      </c>
      <c r="L51" s="167" t="s">
        <v>78</v>
      </c>
      <c r="M51" s="167" t="s">
        <v>78</v>
      </c>
      <c r="N51" s="172" t="s">
        <v>78</v>
      </c>
    </row>
    <row r="52" spans="1:14" ht="19.5" thickBot="1" x14ac:dyDescent="0.3">
      <c r="A52" s="161" t="str">
        <f t="shared" si="1"/>
        <v>UVT4085LBS 5,0x70 - LBS570R1,Rk</v>
      </c>
      <c r="B52" s="37" t="s">
        <v>17</v>
      </c>
      <c r="C52" s="43" t="s">
        <v>95</v>
      </c>
      <c r="D52" s="8" t="s">
        <v>41</v>
      </c>
      <c r="E52" s="325" t="s">
        <v>35</v>
      </c>
      <c r="F52" s="326"/>
      <c r="G52" s="56">
        <v>2.0789999999999997</v>
      </c>
      <c r="H52" s="57">
        <v>2.0789999999999997</v>
      </c>
      <c r="I52" s="58">
        <v>2.0789999999999997</v>
      </c>
      <c r="J52" s="59">
        <v>2.0789999999999997</v>
      </c>
      <c r="K52" s="171" t="s">
        <v>78</v>
      </c>
      <c r="L52" s="167" t="s">
        <v>78</v>
      </c>
      <c r="M52" s="167" t="s">
        <v>78</v>
      </c>
      <c r="N52" s="172" t="s">
        <v>78</v>
      </c>
    </row>
    <row r="53" spans="1:14" ht="19.5" thickBot="1" x14ac:dyDescent="0.3">
      <c r="A53" s="161" t="str">
        <f t="shared" si="1"/>
        <v>UVT4085LBS 5,0x70 - LBS570R2,Rk</v>
      </c>
      <c r="B53" s="37" t="s">
        <v>17</v>
      </c>
      <c r="C53" s="43" t="s">
        <v>95</v>
      </c>
      <c r="D53" s="8" t="s">
        <v>41</v>
      </c>
      <c r="E53" s="323" t="s">
        <v>40</v>
      </c>
      <c r="F53" s="324"/>
      <c r="G53" s="44">
        <v>18.667619023324853</v>
      </c>
      <c r="H53" s="45">
        <v>21.582283859078441</v>
      </c>
      <c r="I53" s="46">
        <v>11.990157699488023</v>
      </c>
      <c r="J53" s="47">
        <v>11.990157699488023</v>
      </c>
      <c r="K53" s="171" t="s">
        <v>78</v>
      </c>
      <c r="L53" s="167" t="s">
        <v>78</v>
      </c>
      <c r="M53" s="167" t="s">
        <v>78</v>
      </c>
      <c r="N53" s="172" t="s">
        <v>78</v>
      </c>
    </row>
    <row r="54" spans="1:14" ht="19.5" thickBot="1" x14ac:dyDescent="0.3">
      <c r="A54" s="161" t="str">
        <f t="shared" si="1"/>
        <v>UVT4085LBS 5,0x70 - LBS570R3,Rk</v>
      </c>
      <c r="B54" s="37" t="s">
        <v>17</v>
      </c>
      <c r="C54" s="43" t="s">
        <v>95</v>
      </c>
      <c r="D54" s="8" t="s">
        <v>41</v>
      </c>
      <c r="E54" s="319" t="s">
        <v>43</v>
      </c>
      <c r="F54" s="320"/>
      <c r="G54" s="48">
        <v>4.6669047558312133</v>
      </c>
      <c r="H54" s="49">
        <v>7.848885271170678</v>
      </c>
      <c r="I54" s="50">
        <v>4.6669047558312133</v>
      </c>
      <c r="J54" s="51">
        <v>7.848885271170678</v>
      </c>
      <c r="K54" s="171" t="s">
        <v>78</v>
      </c>
      <c r="L54" s="167" t="s">
        <v>78</v>
      </c>
      <c r="M54" s="167" t="s">
        <v>78</v>
      </c>
      <c r="N54" s="172" t="s">
        <v>78</v>
      </c>
    </row>
    <row r="55" spans="1:14" ht="19.5" thickBot="1" x14ac:dyDescent="0.3">
      <c r="A55" s="162" t="str">
        <f t="shared" si="1"/>
        <v>UVT4085LBS 5,0x70 - LBS570R4,Rk</v>
      </c>
      <c r="B55" s="165" t="s">
        <v>17</v>
      </c>
      <c r="C55" s="64" t="s">
        <v>95</v>
      </c>
      <c r="D55" s="16" t="s">
        <v>41</v>
      </c>
      <c r="E55" s="327" t="s">
        <v>45</v>
      </c>
      <c r="F55" s="328"/>
      <c r="G55" s="60">
        <v>1.6358562110884767</v>
      </c>
      <c r="H55" s="61">
        <v>1.6358562110884767</v>
      </c>
      <c r="I55" s="62">
        <v>1.6358562110884767</v>
      </c>
      <c r="J55" s="63">
        <v>1.6358562110884767</v>
      </c>
      <c r="K55" s="171" t="s">
        <v>78</v>
      </c>
      <c r="L55" s="167" t="s">
        <v>78</v>
      </c>
      <c r="M55" s="167" t="s">
        <v>78</v>
      </c>
      <c r="N55" s="172" t="s">
        <v>78</v>
      </c>
    </row>
    <row r="56" spans="1:14" ht="18.75" customHeight="1" thickBot="1" x14ac:dyDescent="0.3">
      <c r="A56" s="166" t="str">
        <f t="shared" si="1"/>
        <v>UVT3070LBS 5,0x50 - LBS550R1,Rk</v>
      </c>
      <c r="B56" s="160" t="s">
        <v>11</v>
      </c>
      <c r="C56" s="164" t="s">
        <v>95</v>
      </c>
      <c r="D56" s="8" t="s">
        <v>32</v>
      </c>
      <c r="E56" s="319" t="s">
        <v>35</v>
      </c>
      <c r="F56" s="320"/>
      <c r="G56" s="168" t="s">
        <v>78</v>
      </c>
      <c r="H56" s="169" t="s">
        <v>78</v>
      </c>
      <c r="I56" s="169" t="s">
        <v>78</v>
      </c>
      <c r="J56" s="170" t="s">
        <v>78</v>
      </c>
      <c r="K56" s="39">
        <v>1.4490000000000001</v>
      </c>
      <c r="L56" s="40">
        <v>1.4490000000000001</v>
      </c>
      <c r="M56" s="41">
        <v>1.4490000000000001</v>
      </c>
      <c r="N56" s="42">
        <v>1.4490000000000001</v>
      </c>
    </row>
    <row r="57" spans="1:14" ht="19.5" thickBot="1" x14ac:dyDescent="0.3">
      <c r="A57" s="166" t="str">
        <f t="shared" si="1"/>
        <v>UVT3070LBS 5,0x50 - LBS550R2,Rk</v>
      </c>
      <c r="B57" s="160" t="s">
        <v>11</v>
      </c>
      <c r="C57" s="43" t="s">
        <v>95</v>
      </c>
      <c r="D57" s="8" t="s">
        <v>32</v>
      </c>
      <c r="E57" s="323" t="s">
        <v>40</v>
      </c>
      <c r="F57" s="324"/>
      <c r="G57" s="171" t="s">
        <v>78</v>
      </c>
      <c r="H57" s="167" t="s">
        <v>78</v>
      </c>
      <c r="I57" s="167" t="s">
        <v>78</v>
      </c>
      <c r="J57" s="172" t="s">
        <v>78</v>
      </c>
      <c r="K57" s="44">
        <v>6.7689403689948575</v>
      </c>
      <c r="L57" s="45">
        <v>9.0252538253264785</v>
      </c>
      <c r="M57" s="46">
        <v>4.5126269126632383</v>
      </c>
      <c r="N57" s="47">
        <v>6.0168358835509865</v>
      </c>
    </row>
    <row r="58" spans="1:14" ht="19.5" thickBot="1" x14ac:dyDescent="0.3">
      <c r="A58" s="166" t="str">
        <f t="shared" si="1"/>
        <v>UVT3070LBS 5,0x50 - LBS550R3,Rk</v>
      </c>
      <c r="B58" s="160" t="s">
        <v>11</v>
      </c>
      <c r="C58" s="43" t="s">
        <v>95</v>
      </c>
      <c r="D58" s="8" t="s">
        <v>32</v>
      </c>
      <c r="E58" s="319" t="s">
        <v>43</v>
      </c>
      <c r="F58" s="320"/>
      <c r="G58" s="171" t="s">
        <v>78</v>
      </c>
      <c r="H58" s="167" t="s">
        <v>78</v>
      </c>
      <c r="I58" s="167" t="s">
        <v>78</v>
      </c>
      <c r="J58" s="172" t="s">
        <v>78</v>
      </c>
      <c r="K58" s="48">
        <v>1.1281567281658096</v>
      </c>
      <c r="L58" s="49">
        <v>1.5042089708877466</v>
      </c>
      <c r="M58" s="50">
        <v>1.1281567281658096</v>
      </c>
      <c r="N58" s="51">
        <v>1.5042089708877466</v>
      </c>
    </row>
    <row r="59" spans="1:14" ht="18.75" customHeight="1" thickBot="1" x14ac:dyDescent="0.3">
      <c r="A59" s="166" t="str">
        <f t="shared" si="1"/>
        <v>UVT3070LBS 5,0x50 - LBS550R4,Rk</v>
      </c>
      <c r="B59" s="160" t="s">
        <v>11</v>
      </c>
      <c r="C59" s="43" t="s">
        <v>95</v>
      </c>
      <c r="D59" s="8" t="s">
        <v>32</v>
      </c>
      <c r="E59" s="323" t="s">
        <v>45</v>
      </c>
      <c r="F59" s="324"/>
      <c r="G59" s="171" t="s">
        <v>78</v>
      </c>
      <c r="H59" s="167" t="s">
        <v>78</v>
      </c>
      <c r="I59" s="167" t="s">
        <v>78</v>
      </c>
      <c r="J59" s="172" t="s">
        <v>78</v>
      </c>
      <c r="K59" s="52">
        <v>1.7156580119484024</v>
      </c>
      <c r="L59" s="53">
        <v>1.8129796739813153</v>
      </c>
      <c r="M59" s="54">
        <v>1.4898021960569927</v>
      </c>
      <c r="N59" s="55">
        <v>1.5743120603835614</v>
      </c>
    </row>
    <row r="60" spans="1:14" ht="19.5" thickBot="1" x14ac:dyDescent="0.3">
      <c r="A60" s="166" t="str">
        <f t="shared" si="1"/>
        <v>UVT3070LBS 5,0x60 - LBS560R1,Rk</v>
      </c>
      <c r="B60" s="160" t="s">
        <v>11</v>
      </c>
      <c r="C60" s="43" t="s">
        <v>95</v>
      </c>
      <c r="D60" s="8" t="s">
        <v>37</v>
      </c>
      <c r="E60" s="325" t="s">
        <v>35</v>
      </c>
      <c r="F60" s="326"/>
      <c r="G60" s="171" t="s">
        <v>78</v>
      </c>
      <c r="H60" s="167" t="s">
        <v>78</v>
      </c>
      <c r="I60" s="167" t="s">
        <v>78</v>
      </c>
      <c r="J60" s="172" t="s">
        <v>78</v>
      </c>
      <c r="K60" s="56">
        <v>1.764</v>
      </c>
      <c r="L60" s="57">
        <v>1.764</v>
      </c>
      <c r="M60" s="58">
        <v>1.764</v>
      </c>
      <c r="N60" s="59">
        <v>1.764</v>
      </c>
    </row>
    <row r="61" spans="1:14" ht="19.5" thickBot="1" x14ac:dyDescent="0.3">
      <c r="A61" s="166" t="str">
        <f t="shared" si="1"/>
        <v>UVT3070LBS 5,0x60 - LBS560R2,Rk</v>
      </c>
      <c r="B61" s="160" t="s">
        <v>11</v>
      </c>
      <c r="C61" s="43" t="s">
        <v>95</v>
      </c>
      <c r="D61" s="8" t="s">
        <v>37</v>
      </c>
      <c r="E61" s="323" t="s">
        <v>40</v>
      </c>
      <c r="F61" s="324"/>
      <c r="G61" s="171" t="s">
        <v>78</v>
      </c>
      <c r="H61" s="167" t="s">
        <v>78</v>
      </c>
      <c r="I61" s="167" t="s">
        <v>78</v>
      </c>
      <c r="J61" s="172" t="s">
        <v>78</v>
      </c>
      <c r="K61" s="44">
        <v>6.7689403689948575</v>
      </c>
      <c r="L61" s="45">
        <v>9.0252538253264785</v>
      </c>
      <c r="M61" s="46">
        <v>4.5126269126632383</v>
      </c>
      <c r="N61" s="47">
        <v>6.0168358835509865</v>
      </c>
    </row>
    <row r="62" spans="1:14" ht="19.5" thickBot="1" x14ac:dyDescent="0.3">
      <c r="A62" s="166" t="str">
        <f t="shared" si="1"/>
        <v>UVT3070LBS 5,0x60 - LBS560R3,Rk</v>
      </c>
      <c r="B62" s="160" t="s">
        <v>11</v>
      </c>
      <c r="C62" s="43" t="s">
        <v>95</v>
      </c>
      <c r="D62" s="8" t="s">
        <v>37</v>
      </c>
      <c r="E62" s="319" t="s">
        <v>43</v>
      </c>
      <c r="F62" s="320"/>
      <c r="G62" s="171" t="s">
        <v>78</v>
      </c>
      <c r="H62" s="167" t="s">
        <v>78</v>
      </c>
      <c r="I62" s="167" t="s">
        <v>78</v>
      </c>
      <c r="J62" s="172" t="s">
        <v>78</v>
      </c>
      <c r="K62" s="48">
        <v>1.1281567281658096</v>
      </c>
      <c r="L62" s="49">
        <v>1.5042089708877466</v>
      </c>
      <c r="M62" s="50">
        <v>1.1281567281658096</v>
      </c>
      <c r="N62" s="51">
        <v>1.5042089708877466</v>
      </c>
    </row>
    <row r="63" spans="1:14" ht="19.5" thickBot="1" x14ac:dyDescent="0.3">
      <c r="A63" s="166" t="str">
        <f t="shared" si="1"/>
        <v>UVT3070LBS 5,0x60 - LBS560R4,Rk</v>
      </c>
      <c r="B63" s="160" t="s">
        <v>11</v>
      </c>
      <c r="C63" s="43" t="s">
        <v>95</v>
      </c>
      <c r="D63" s="8" t="s">
        <v>37</v>
      </c>
      <c r="E63" s="323" t="s">
        <v>45</v>
      </c>
      <c r="F63" s="324"/>
      <c r="G63" s="171" t="s">
        <v>78</v>
      </c>
      <c r="H63" s="167" t="s">
        <v>78</v>
      </c>
      <c r="I63" s="167" t="s">
        <v>78</v>
      </c>
      <c r="J63" s="172" t="s">
        <v>78</v>
      </c>
      <c r="K63" s="52">
        <v>1.7156580119484024</v>
      </c>
      <c r="L63" s="53">
        <v>1.8129796739813153</v>
      </c>
      <c r="M63" s="54">
        <v>1.4898021960569927</v>
      </c>
      <c r="N63" s="55">
        <v>1.5743120603835614</v>
      </c>
    </row>
    <row r="64" spans="1:14" ht="19.5" thickBot="1" x14ac:dyDescent="0.3">
      <c r="A64" s="166" t="str">
        <f t="shared" si="1"/>
        <v>UVT3070LBS 5,0x70 - LBS570R1,Rk</v>
      </c>
      <c r="B64" s="160" t="s">
        <v>11</v>
      </c>
      <c r="C64" s="43" t="s">
        <v>95</v>
      </c>
      <c r="D64" s="8" t="s">
        <v>41</v>
      </c>
      <c r="E64" s="325" t="s">
        <v>35</v>
      </c>
      <c r="F64" s="326"/>
      <c r="G64" s="171" t="s">
        <v>78</v>
      </c>
      <c r="H64" s="167" t="s">
        <v>78</v>
      </c>
      <c r="I64" s="167" t="s">
        <v>78</v>
      </c>
      <c r="J64" s="172" t="s">
        <v>78</v>
      </c>
      <c r="K64" s="56">
        <v>2.0789999999999997</v>
      </c>
      <c r="L64" s="57">
        <v>2.0789999999999997</v>
      </c>
      <c r="M64" s="58">
        <v>2.0789999999999997</v>
      </c>
      <c r="N64" s="59">
        <v>2.0789999999999997</v>
      </c>
    </row>
    <row r="65" spans="1:14" ht="19.5" thickBot="1" x14ac:dyDescent="0.3">
      <c r="A65" s="166" t="str">
        <f t="shared" si="1"/>
        <v>UVT3070LBS 5,0x70 - LBS570R2,Rk</v>
      </c>
      <c r="B65" s="160" t="s">
        <v>11</v>
      </c>
      <c r="C65" s="43" t="s">
        <v>95</v>
      </c>
      <c r="D65" s="8" t="s">
        <v>41</v>
      </c>
      <c r="E65" s="323" t="s">
        <v>40</v>
      </c>
      <c r="F65" s="324"/>
      <c r="G65" s="171" t="s">
        <v>78</v>
      </c>
      <c r="H65" s="167" t="s">
        <v>78</v>
      </c>
      <c r="I65" s="167" t="s">
        <v>78</v>
      </c>
      <c r="J65" s="172" t="s">
        <v>78</v>
      </c>
      <c r="K65" s="44">
        <v>6.7689403689948575</v>
      </c>
      <c r="L65" s="45">
        <v>9.0252538253264785</v>
      </c>
      <c r="M65" s="46">
        <v>4.5126269126632383</v>
      </c>
      <c r="N65" s="47">
        <v>6.0168358835509865</v>
      </c>
    </row>
    <row r="66" spans="1:14" ht="19.5" thickBot="1" x14ac:dyDescent="0.3">
      <c r="A66" s="166" t="str">
        <f t="shared" si="1"/>
        <v>UVT3070LBS 5,0x70 - LBS570R3,Rk</v>
      </c>
      <c r="B66" s="160" t="s">
        <v>11</v>
      </c>
      <c r="C66" s="43" t="s">
        <v>95</v>
      </c>
      <c r="D66" s="8" t="s">
        <v>41</v>
      </c>
      <c r="E66" s="319" t="s">
        <v>43</v>
      </c>
      <c r="F66" s="320"/>
      <c r="G66" s="171" t="s">
        <v>78</v>
      </c>
      <c r="H66" s="167" t="s">
        <v>78</v>
      </c>
      <c r="I66" s="167" t="s">
        <v>78</v>
      </c>
      <c r="J66" s="172" t="s">
        <v>78</v>
      </c>
      <c r="K66" s="48">
        <v>1.1281567281658096</v>
      </c>
      <c r="L66" s="49">
        <v>1.5042089708877466</v>
      </c>
      <c r="M66" s="50">
        <v>1.1281567281658096</v>
      </c>
      <c r="N66" s="51">
        <v>1.5042089708877466</v>
      </c>
    </row>
    <row r="67" spans="1:14" ht="19.5" thickBot="1" x14ac:dyDescent="0.3">
      <c r="A67" s="166" t="str">
        <f t="shared" si="1"/>
        <v>UVT3070LBS 5,0x70 - LBS570R4,Rk</v>
      </c>
      <c r="B67" s="163" t="s">
        <v>11</v>
      </c>
      <c r="C67" s="43" t="s">
        <v>95</v>
      </c>
      <c r="D67" s="8" t="s">
        <v>41</v>
      </c>
      <c r="E67" s="323" t="s">
        <v>45</v>
      </c>
      <c r="F67" s="324"/>
      <c r="G67" s="171" t="s">
        <v>78</v>
      </c>
      <c r="H67" s="167" t="s">
        <v>78</v>
      </c>
      <c r="I67" s="167" t="s">
        <v>78</v>
      </c>
      <c r="J67" s="172" t="s">
        <v>78</v>
      </c>
      <c r="K67" s="60">
        <v>1.7156580119484024</v>
      </c>
      <c r="L67" s="61">
        <v>1.8129796739813153</v>
      </c>
      <c r="M67" s="62">
        <v>1.4898021960569927</v>
      </c>
      <c r="N67" s="63">
        <v>1.5743120603835614</v>
      </c>
    </row>
    <row r="68" spans="1:14" ht="19.5" thickBot="1" x14ac:dyDescent="0.3">
      <c r="A68" s="67" t="str">
        <f>CONCATENATE(B68,D68,E68)</f>
        <v>UVC60115LBS 5,0x50 - LBS550R1,Rk</v>
      </c>
      <c r="B68" s="24" t="s">
        <v>24</v>
      </c>
      <c r="C68" s="68" t="s">
        <v>95</v>
      </c>
      <c r="D68" s="7" t="s">
        <v>32</v>
      </c>
      <c r="E68" s="321" t="s">
        <v>35</v>
      </c>
      <c r="F68" s="322"/>
      <c r="G68" s="69" t="s">
        <v>78</v>
      </c>
      <c r="H68" s="70" t="s">
        <v>78</v>
      </c>
      <c r="I68" s="69" t="s">
        <v>78</v>
      </c>
      <c r="J68" s="70" t="s">
        <v>78</v>
      </c>
      <c r="K68" s="168" t="s">
        <v>78</v>
      </c>
      <c r="L68" s="169" t="s">
        <v>78</v>
      </c>
      <c r="M68" s="169" t="s">
        <v>78</v>
      </c>
      <c r="N68" s="170" t="s">
        <v>78</v>
      </c>
    </row>
    <row r="69" spans="1:14" ht="19.5" thickBot="1" x14ac:dyDescent="0.3">
      <c r="A69" s="67" t="str">
        <f t="shared" ref="A69:A103" si="2">CONCATENATE(B69,D69,E69)</f>
        <v>UVC60115LBS 5,0x50 - LBS550R2,Rk</v>
      </c>
      <c r="B69" s="3" t="s">
        <v>24</v>
      </c>
      <c r="C69" s="68" t="s">
        <v>95</v>
      </c>
      <c r="D69" s="2" t="s">
        <v>32</v>
      </c>
      <c r="E69" s="323" t="s">
        <v>40</v>
      </c>
      <c r="F69" s="324"/>
      <c r="G69" s="71">
        <v>9.7799999999999994</v>
      </c>
      <c r="H69" s="72">
        <v>9.7799999999999994</v>
      </c>
      <c r="I69" s="73" t="s">
        <v>78</v>
      </c>
      <c r="J69" s="74" t="s">
        <v>78</v>
      </c>
      <c r="K69" s="171" t="s">
        <v>78</v>
      </c>
      <c r="L69" s="167" t="s">
        <v>78</v>
      </c>
      <c r="M69" s="167" t="s">
        <v>78</v>
      </c>
      <c r="N69" s="172" t="s">
        <v>78</v>
      </c>
    </row>
    <row r="70" spans="1:14" ht="19.5" thickBot="1" x14ac:dyDescent="0.3">
      <c r="A70" s="67" t="str">
        <f t="shared" si="2"/>
        <v>UVC60115LBS 5,0x50 - LBS550R3,Rk</v>
      </c>
      <c r="B70" s="3" t="s">
        <v>24</v>
      </c>
      <c r="C70" s="68" t="s">
        <v>95</v>
      </c>
      <c r="D70" s="2" t="s">
        <v>32</v>
      </c>
      <c r="E70" s="319" t="s">
        <v>43</v>
      </c>
      <c r="F70" s="320"/>
      <c r="G70" s="73" t="s">
        <v>78</v>
      </c>
      <c r="H70" s="74" t="s">
        <v>78</v>
      </c>
      <c r="I70" s="73" t="s">
        <v>78</v>
      </c>
      <c r="J70" s="74" t="s">
        <v>78</v>
      </c>
      <c r="K70" s="171" t="s">
        <v>78</v>
      </c>
      <c r="L70" s="167" t="s">
        <v>78</v>
      </c>
      <c r="M70" s="167" t="s">
        <v>78</v>
      </c>
      <c r="N70" s="172" t="s">
        <v>78</v>
      </c>
    </row>
    <row r="71" spans="1:14" ht="19.5" thickBot="1" x14ac:dyDescent="0.3">
      <c r="A71" s="67" t="str">
        <f t="shared" si="2"/>
        <v>UVC60115LBS 5,0x50 - LBS550R4,Rk</v>
      </c>
      <c r="B71" s="5" t="s">
        <v>24</v>
      </c>
      <c r="C71" s="68" t="s">
        <v>95</v>
      </c>
      <c r="D71" s="25" t="s">
        <v>32</v>
      </c>
      <c r="E71" s="327" t="s">
        <v>45</v>
      </c>
      <c r="F71" s="328"/>
      <c r="G71" s="75" t="s">
        <v>78</v>
      </c>
      <c r="H71" s="76" t="s">
        <v>78</v>
      </c>
      <c r="I71" s="75" t="s">
        <v>78</v>
      </c>
      <c r="J71" s="76" t="s">
        <v>78</v>
      </c>
      <c r="K71" s="171" t="s">
        <v>78</v>
      </c>
      <c r="L71" s="167" t="s">
        <v>78</v>
      </c>
      <c r="M71" s="167" t="s">
        <v>78</v>
      </c>
      <c r="N71" s="172" t="s">
        <v>78</v>
      </c>
    </row>
    <row r="72" spans="1:14" ht="18.75" customHeight="1" thickBot="1" x14ac:dyDescent="0.3">
      <c r="A72" s="67" t="str">
        <f t="shared" si="2"/>
        <v>UVC60115LBS 5,0x60 - LBS560R1,Rk</v>
      </c>
      <c r="B72" s="24" t="s">
        <v>24</v>
      </c>
      <c r="C72" s="68" t="s">
        <v>95</v>
      </c>
      <c r="D72" s="7" t="s">
        <v>37</v>
      </c>
      <c r="E72" s="321" t="s">
        <v>35</v>
      </c>
      <c r="F72" s="322"/>
      <c r="G72" s="69" t="s">
        <v>78</v>
      </c>
      <c r="H72" s="70" t="s">
        <v>78</v>
      </c>
      <c r="I72" s="69" t="s">
        <v>78</v>
      </c>
      <c r="J72" s="70" t="s">
        <v>78</v>
      </c>
      <c r="K72" s="171" t="s">
        <v>78</v>
      </c>
      <c r="L72" s="167" t="s">
        <v>78</v>
      </c>
      <c r="M72" s="167" t="s">
        <v>78</v>
      </c>
      <c r="N72" s="172" t="s">
        <v>78</v>
      </c>
    </row>
    <row r="73" spans="1:14" ht="18.75" customHeight="1" thickBot="1" x14ac:dyDescent="0.3">
      <c r="A73" s="67" t="str">
        <f t="shared" si="2"/>
        <v>UVC60115LBS 5,0x60 - LBS560R2,Rk</v>
      </c>
      <c r="B73" s="3" t="s">
        <v>24</v>
      </c>
      <c r="C73" s="68" t="s">
        <v>95</v>
      </c>
      <c r="D73" s="2" t="s">
        <v>37</v>
      </c>
      <c r="E73" s="323" t="s">
        <v>40</v>
      </c>
      <c r="F73" s="324"/>
      <c r="G73" s="71">
        <v>9.7799999999999994</v>
      </c>
      <c r="H73" s="72">
        <v>9.7799999999999994</v>
      </c>
      <c r="I73" s="73" t="s">
        <v>78</v>
      </c>
      <c r="J73" s="74" t="s">
        <v>78</v>
      </c>
      <c r="K73" s="171" t="s">
        <v>78</v>
      </c>
      <c r="L73" s="167" t="s">
        <v>78</v>
      </c>
      <c r="M73" s="167" t="s">
        <v>78</v>
      </c>
      <c r="N73" s="172" t="s">
        <v>78</v>
      </c>
    </row>
    <row r="74" spans="1:14" ht="18.75" customHeight="1" thickBot="1" x14ac:dyDescent="0.3">
      <c r="A74" s="67" t="str">
        <f t="shared" si="2"/>
        <v>UVC60115LBS 5,0x60 - LBS560R3,Rk</v>
      </c>
      <c r="B74" s="3" t="s">
        <v>24</v>
      </c>
      <c r="C74" s="68" t="s">
        <v>95</v>
      </c>
      <c r="D74" s="2" t="s">
        <v>37</v>
      </c>
      <c r="E74" s="319" t="s">
        <v>43</v>
      </c>
      <c r="F74" s="320"/>
      <c r="G74" s="73" t="s">
        <v>78</v>
      </c>
      <c r="H74" s="74" t="s">
        <v>78</v>
      </c>
      <c r="I74" s="73" t="s">
        <v>78</v>
      </c>
      <c r="J74" s="74" t="s">
        <v>78</v>
      </c>
      <c r="K74" s="171" t="s">
        <v>78</v>
      </c>
      <c r="L74" s="167" t="s">
        <v>78</v>
      </c>
      <c r="M74" s="167" t="s">
        <v>78</v>
      </c>
      <c r="N74" s="172" t="s">
        <v>78</v>
      </c>
    </row>
    <row r="75" spans="1:14" ht="18.75" customHeight="1" thickBot="1" x14ac:dyDescent="0.3">
      <c r="A75" s="67" t="str">
        <f t="shared" si="2"/>
        <v>UVC60115LBS 5,0x60 - LBS560R4,Rk</v>
      </c>
      <c r="B75" s="5" t="s">
        <v>24</v>
      </c>
      <c r="C75" s="68" t="s">
        <v>95</v>
      </c>
      <c r="D75" s="25" t="s">
        <v>37</v>
      </c>
      <c r="E75" s="327" t="s">
        <v>45</v>
      </c>
      <c r="F75" s="328"/>
      <c r="G75" s="75" t="s">
        <v>78</v>
      </c>
      <c r="H75" s="76" t="s">
        <v>78</v>
      </c>
      <c r="I75" s="75" t="s">
        <v>78</v>
      </c>
      <c r="J75" s="76" t="s">
        <v>78</v>
      </c>
      <c r="K75" s="171" t="s">
        <v>78</v>
      </c>
      <c r="L75" s="167" t="s">
        <v>78</v>
      </c>
      <c r="M75" s="167" t="s">
        <v>78</v>
      </c>
      <c r="N75" s="172" t="s">
        <v>78</v>
      </c>
    </row>
    <row r="76" spans="1:14" ht="19.5" thickBot="1" x14ac:dyDescent="0.3">
      <c r="A76" s="67" t="str">
        <f t="shared" si="2"/>
        <v>UVC60115LBS 5,0x70 - LBS570R1,Rk</v>
      </c>
      <c r="B76" s="3" t="s">
        <v>24</v>
      </c>
      <c r="C76" s="68" t="s">
        <v>95</v>
      </c>
      <c r="D76" s="2" t="s">
        <v>41</v>
      </c>
      <c r="E76" s="319" t="s">
        <v>35</v>
      </c>
      <c r="F76" s="320"/>
      <c r="G76" s="69" t="s">
        <v>78</v>
      </c>
      <c r="H76" s="70" t="s">
        <v>78</v>
      </c>
      <c r="I76" s="69" t="s">
        <v>78</v>
      </c>
      <c r="J76" s="70" t="s">
        <v>78</v>
      </c>
      <c r="K76" s="171" t="s">
        <v>78</v>
      </c>
      <c r="L76" s="167" t="s">
        <v>78</v>
      </c>
      <c r="M76" s="167" t="s">
        <v>78</v>
      </c>
      <c r="N76" s="172" t="s">
        <v>78</v>
      </c>
    </row>
    <row r="77" spans="1:14" ht="19.5" thickBot="1" x14ac:dyDescent="0.3">
      <c r="A77" s="67" t="str">
        <f t="shared" si="2"/>
        <v>UVC60115LBS 5,0x70 - LBS570R2,Rk</v>
      </c>
      <c r="B77" s="3" t="s">
        <v>24</v>
      </c>
      <c r="C77" s="68" t="s">
        <v>95</v>
      </c>
      <c r="D77" s="2" t="s">
        <v>41</v>
      </c>
      <c r="E77" s="323" t="s">
        <v>40</v>
      </c>
      <c r="F77" s="324"/>
      <c r="G77" s="71">
        <v>9.7799999999999994</v>
      </c>
      <c r="H77" s="72">
        <v>9.7799999999999994</v>
      </c>
      <c r="I77" s="73" t="s">
        <v>78</v>
      </c>
      <c r="J77" s="74" t="s">
        <v>78</v>
      </c>
      <c r="K77" s="171" t="s">
        <v>78</v>
      </c>
      <c r="L77" s="167" t="s">
        <v>78</v>
      </c>
      <c r="M77" s="167" t="s">
        <v>78</v>
      </c>
      <c r="N77" s="172" t="s">
        <v>78</v>
      </c>
    </row>
    <row r="78" spans="1:14" ht="19.5" thickBot="1" x14ac:dyDescent="0.3">
      <c r="A78" s="67" t="str">
        <f t="shared" si="2"/>
        <v>UVC60115LBS 5,0x70 - LBS570R3,Rk</v>
      </c>
      <c r="B78" s="3" t="s">
        <v>24</v>
      </c>
      <c r="C78" s="68" t="s">
        <v>95</v>
      </c>
      <c r="D78" s="2" t="s">
        <v>41</v>
      </c>
      <c r="E78" s="319" t="s">
        <v>43</v>
      </c>
      <c r="F78" s="320"/>
      <c r="G78" s="73" t="s">
        <v>78</v>
      </c>
      <c r="H78" s="74" t="s">
        <v>78</v>
      </c>
      <c r="I78" s="73" t="s">
        <v>78</v>
      </c>
      <c r="J78" s="74" t="s">
        <v>78</v>
      </c>
      <c r="K78" s="171" t="s">
        <v>78</v>
      </c>
      <c r="L78" s="167" t="s">
        <v>78</v>
      </c>
      <c r="M78" s="167" t="s">
        <v>78</v>
      </c>
      <c r="N78" s="172" t="s">
        <v>78</v>
      </c>
    </row>
    <row r="79" spans="1:14" ht="19.5" thickBot="1" x14ac:dyDescent="0.3">
      <c r="A79" s="67" t="str">
        <f t="shared" si="2"/>
        <v>UVC60115LBS 5,0x70 - LBS570R4,Rk</v>
      </c>
      <c r="B79" s="5" t="s">
        <v>24</v>
      </c>
      <c r="C79" s="68" t="s">
        <v>95</v>
      </c>
      <c r="D79" s="25" t="s">
        <v>41</v>
      </c>
      <c r="E79" s="323" t="s">
        <v>45</v>
      </c>
      <c r="F79" s="324"/>
      <c r="G79" s="75" t="s">
        <v>78</v>
      </c>
      <c r="H79" s="76" t="s">
        <v>78</v>
      </c>
      <c r="I79" s="75" t="s">
        <v>78</v>
      </c>
      <c r="J79" s="76" t="s">
        <v>78</v>
      </c>
      <c r="K79" s="171" t="s">
        <v>78</v>
      </c>
      <c r="L79" s="167" t="s">
        <v>78</v>
      </c>
      <c r="M79" s="167" t="s">
        <v>78</v>
      </c>
      <c r="N79" s="172" t="s">
        <v>78</v>
      </c>
    </row>
    <row r="80" spans="1:14" ht="19.5" thickBot="1" x14ac:dyDescent="0.3">
      <c r="A80" s="67" t="str">
        <f t="shared" si="2"/>
        <v>UVC60160LBS 5,0x50 - LBS550R1,Rk</v>
      </c>
      <c r="B80" s="3" t="s">
        <v>25</v>
      </c>
      <c r="C80" s="68" t="s">
        <v>95</v>
      </c>
      <c r="D80" s="2" t="s">
        <v>32</v>
      </c>
      <c r="E80" s="325" t="s">
        <v>35</v>
      </c>
      <c r="F80" s="326"/>
      <c r="G80" s="69" t="s">
        <v>78</v>
      </c>
      <c r="H80" s="70" t="s">
        <v>78</v>
      </c>
      <c r="I80" s="69" t="s">
        <v>78</v>
      </c>
      <c r="J80" s="70" t="s">
        <v>78</v>
      </c>
      <c r="K80" s="171" t="s">
        <v>78</v>
      </c>
      <c r="L80" s="167" t="s">
        <v>78</v>
      </c>
      <c r="M80" s="167" t="s">
        <v>78</v>
      </c>
      <c r="N80" s="172" t="s">
        <v>78</v>
      </c>
    </row>
    <row r="81" spans="1:14" ht="19.5" thickBot="1" x14ac:dyDescent="0.3">
      <c r="A81" s="67" t="str">
        <f t="shared" si="2"/>
        <v>UVC60160LBS 5,0x50 - LBS550R2,Rk</v>
      </c>
      <c r="B81" s="3" t="s">
        <v>25</v>
      </c>
      <c r="C81" s="68" t="s">
        <v>95</v>
      </c>
      <c r="D81" s="2" t="s">
        <v>32</v>
      </c>
      <c r="E81" s="323" t="s">
        <v>40</v>
      </c>
      <c r="F81" s="324"/>
      <c r="G81" s="71">
        <v>12.23</v>
      </c>
      <c r="H81" s="72">
        <v>12.23</v>
      </c>
      <c r="I81" s="73" t="s">
        <v>78</v>
      </c>
      <c r="J81" s="74" t="s">
        <v>78</v>
      </c>
      <c r="K81" s="171" t="s">
        <v>78</v>
      </c>
      <c r="L81" s="167" t="s">
        <v>78</v>
      </c>
      <c r="M81" s="167" t="s">
        <v>78</v>
      </c>
      <c r="N81" s="172" t="s">
        <v>78</v>
      </c>
    </row>
    <row r="82" spans="1:14" ht="19.5" thickBot="1" x14ac:dyDescent="0.3">
      <c r="A82" s="67" t="str">
        <f t="shared" si="2"/>
        <v>UVC60160LBS 5,0x50 - LBS550R3,Rk</v>
      </c>
      <c r="B82" s="3" t="s">
        <v>25</v>
      </c>
      <c r="C82" s="68" t="s">
        <v>95</v>
      </c>
      <c r="D82" s="2" t="s">
        <v>32</v>
      </c>
      <c r="E82" s="319" t="s">
        <v>43</v>
      </c>
      <c r="F82" s="320"/>
      <c r="G82" s="73" t="s">
        <v>78</v>
      </c>
      <c r="H82" s="74" t="s">
        <v>78</v>
      </c>
      <c r="I82" s="73" t="s">
        <v>78</v>
      </c>
      <c r="J82" s="74" t="s">
        <v>78</v>
      </c>
      <c r="K82" s="171" t="s">
        <v>78</v>
      </c>
      <c r="L82" s="167" t="s">
        <v>78</v>
      </c>
      <c r="M82" s="167" t="s">
        <v>78</v>
      </c>
      <c r="N82" s="172" t="s">
        <v>78</v>
      </c>
    </row>
    <row r="83" spans="1:14" ht="19.5" thickBot="1" x14ac:dyDescent="0.3">
      <c r="A83" s="67" t="str">
        <f t="shared" si="2"/>
        <v>UVC60160LBS 5,0x50 - LBS550R4,Rk</v>
      </c>
      <c r="B83" s="3" t="s">
        <v>25</v>
      </c>
      <c r="C83" s="68" t="s">
        <v>95</v>
      </c>
      <c r="D83" s="2" t="s">
        <v>32</v>
      </c>
      <c r="E83" s="323" t="s">
        <v>45</v>
      </c>
      <c r="F83" s="324"/>
      <c r="G83" s="75" t="s">
        <v>78</v>
      </c>
      <c r="H83" s="76" t="s">
        <v>78</v>
      </c>
      <c r="I83" s="75" t="s">
        <v>78</v>
      </c>
      <c r="J83" s="76" t="s">
        <v>78</v>
      </c>
      <c r="K83" s="171" t="s">
        <v>78</v>
      </c>
      <c r="L83" s="167" t="s">
        <v>78</v>
      </c>
      <c r="M83" s="167" t="s">
        <v>78</v>
      </c>
      <c r="N83" s="172" t="s">
        <v>78</v>
      </c>
    </row>
    <row r="84" spans="1:14" ht="19.5" thickBot="1" x14ac:dyDescent="0.3">
      <c r="A84" s="67" t="str">
        <f t="shared" si="2"/>
        <v>UVC60160LBS 5,0x60 - LBS560R1,Rk</v>
      </c>
      <c r="B84" s="24" t="s">
        <v>25</v>
      </c>
      <c r="C84" s="68" t="s">
        <v>95</v>
      </c>
      <c r="D84" s="7" t="s">
        <v>37</v>
      </c>
      <c r="E84" s="321" t="s">
        <v>35</v>
      </c>
      <c r="F84" s="322"/>
      <c r="G84" s="69" t="s">
        <v>78</v>
      </c>
      <c r="H84" s="70" t="s">
        <v>78</v>
      </c>
      <c r="I84" s="69" t="s">
        <v>78</v>
      </c>
      <c r="J84" s="70" t="s">
        <v>78</v>
      </c>
      <c r="K84" s="171" t="s">
        <v>78</v>
      </c>
      <c r="L84" s="167" t="s">
        <v>78</v>
      </c>
      <c r="M84" s="167" t="s">
        <v>78</v>
      </c>
      <c r="N84" s="172" t="s">
        <v>78</v>
      </c>
    </row>
    <row r="85" spans="1:14" ht="19.5" thickBot="1" x14ac:dyDescent="0.3">
      <c r="A85" s="67" t="str">
        <f t="shared" si="2"/>
        <v>UVC60160LBS 5,0x60 - LBS560R2,Rk</v>
      </c>
      <c r="B85" s="3" t="s">
        <v>25</v>
      </c>
      <c r="C85" s="68" t="s">
        <v>95</v>
      </c>
      <c r="D85" s="2" t="s">
        <v>37</v>
      </c>
      <c r="E85" s="323" t="s">
        <v>40</v>
      </c>
      <c r="F85" s="324"/>
      <c r="G85" s="71">
        <v>12.23</v>
      </c>
      <c r="H85" s="72">
        <v>12.23</v>
      </c>
      <c r="I85" s="73" t="s">
        <v>78</v>
      </c>
      <c r="J85" s="74" t="s">
        <v>78</v>
      </c>
      <c r="K85" s="171" t="s">
        <v>78</v>
      </c>
      <c r="L85" s="167" t="s">
        <v>78</v>
      </c>
      <c r="M85" s="167" t="s">
        <v>78</v>
      </c>
      <c r="N85" s="172" t="s">
        <v>78</v>
      </c>
    </row>
    <row r="86" spans="1:14" ht="19.5" thickBot="1" x14ac:dyDescent="0.3">
      <c r="A86" s="67" t="str">
        <f t="shared" si="2"/>
        <v>UVC60160LBS 5,0x60 - LBS560R3,Rk</v>
      </c>
      <c r="B86" s="3" t="s">
        <v>25</v>
      </c>
      <c r="C86" s="68" t="s">
        <v>95</v>
      </c>
      <c r="D86" s="2" t="s">
        <v>37</v>
      </c>
      <c r="E86" s="319" t="s">
        <v>43</v>
      </c>
      <c r="F86" s="320"/>
      <c r="G86" s="73" t="s">
        <v>78</v>
      </c>
      <c r="H86" s="74" t="s">
        <v>78</v>
      </c>
      <c r="I86" s="73" t="s">
        <v>78</v>
      </c>
      <c r="J86" s="74" t="s">
        <v>78</v>
      </c>
      <c r="K86" s="171" t="s">
        <v>78</v>
      </c>
      <c r="L86" s="167" t="s">
        <v>78</v>
      </c>
      <c r="M86" s="167" t="s">
        <v>78</v>
      </c>
      <c r="N86" s="172" t="s">
        <v>78</v>
      </c>
    </row>
    <row r="87" spans="1:14" ht="19.5" thickBot="1" x14ac:dyDescent="0.3">
      <c r="A87" s="67" t="str">
        <f t="shared" si="2"/>
        <v>UVC60160LBS 5,0x60 - LBS560R4,Rk</v>
      </c>
      <c r="B87" s="5" t="s">
        <v>25</v>
      </c>
      <c r="C87" s="68" t="s">
        <v>95</v>
      </c>
      <c r="D87" s="25" t="s">
        <v>37</v>
      </c>
      <c r="E87" s="327" t="s">
        <v>45</v>
      </c>
      <c r="F87" s="328"/>
      <c r="G87" s="75" t="s">
        <v>78</v>
      </c>
      <c r="H87" s="76" t="s">
        <v>78</v>
      </c>
      <c r="I87" s="75" t="s">
        <v>78</v>
      </c>
      <c r="J87" s="76" t="s">
        <v>78</v>
      </c>
      <c r="K87" s="171" t="s">
        <v>78</v>
      </c>
      <c r="L87" s="167" t="s">
        <v>78</v>
      </c>
      <c r="M87" s="167" t="s">
        <v>78</v>
      </c>
      <c r="N87" s="172" t="s">
        <v>78</v>
      </c>
    </row>
    <row r="88" spans="1:14" ht="19.5" thickBot="1" x14ac:dyDescent="0.3">
      <c r="A88" s="67" t="str">
        <f t="shared" si="2"/>
        <v>UVC60160LBS 5,0x70 - LBS570R1,Rk</v>
      </c>
      <c r="B88" s="24" t="s">
        <v>25</v>
      </c>
      <c r="C88" s="68" t="s">
        <v>95</v>
      </c>
      <c r="D88" s="7" t="s">
        <v>41</v>
      </c>
      <c r="E88" s="321" t="s">
        <v>35</v>
      </c>
      <c r="F88" s="322"/>
      <c r="G88" s="69" t="s">
        <v>78</v>
      </c>
      <c r="H88" s="70" t="s">
        <v>78</v>
      </c>
      <c r="I88" s="69" t="s">
        <v>78</v>
      </c>
      <c r="J88" s="70" t="s">
        <v>78</v>
      </c>
      <c r="K88" s="171" t="s">
        <v>78</v>
      </c>
      <c r="L88" s="167" t="s">
        <v>78</v>
      </c>
      <c r="M88" s="167" t="s">
        <v>78</v>
      </c>
      <c r="N88" s="172" t="s">
        <v>78</v>
      </c>
    </row>
    <row r="89" spans="1:14" ht="19.5" thickBot="1" x14ac:dyDescent="0.3">
      <c r="A89" s="67" t="str">
        <f t="shared" si="2"/>
        <v>UVC60160LBS 5,0x70 - LBS570R2,Rk</v>
      </c>
      <c r="B89" s="3" t="s">
        <v>25</v>
      </c>
      <c r="C89" s="68" t="s">
        <v>95</v>
      </c>
      <c r="D89" s="2" t="s">
        <v>41</v>
      </c>
      <c r="E89" s="323" t="s">
        <v>40</v>
      </c>
      <c r="F89" s="324"/>
      <c r="G89" s="71">
        <v>12.23</v>
      </c>
      <c r="H89" s="72">
        <v>12.23</v>
      </c>
      <c r="I89" s="73" t="s">
        <v>78</v>
      </c>
      <c r="J89" s="74" t="s">
        <v>78</v>
      </c>
      <c r="K89" s="171" t="s">
        <v>78</v>
      </c>
      <c r="L89" s="167" t="s">
        <v>78</v>
      </c>
      <c r="M89" s="167" t="s">
        <v>78</v>
      </c>
      <c r="N89" s="172" t="s">
        <v>78</v>
      </c>
    </row>
    <row r="90" spans="1:14" ht="19.5" thickBot="1" x14ac:dyDescent="0.3">
      <c r="A90" s="67" t="str">
        <f t="shared" si="2"/>
        <v>UVC60160LBS 5,0x70 - LBS570R3,Rk</v>
      </c>
      <c r="B90" s="3" t="s">
        <v>25</v>
      </c>
      <c r="C90" s="68" t="s">
        <v>95</v>
      </c>
      <c r="D90" s="2" t="s">
        <v>41</v>
      </c>
      <c r="E90" s="319" t="s">
        <v>43</v>
      </c>
      <c r="F90" s="320"/>
      <c r="G90" s="73" t="s">
        <v>78</v>
      </c>
      <c r="H90" s="74" t="s">
        <v>78</v>
      </c>
      <c r="I90" s="73" t="s">
        <v>78</v>
      </c>
      <c r="J90" s="74" t="s">
        <v>78</v>
      </c>
      <c r="K90" s="171" t="s">
        <v>78</v>
      </c>
      <c r="L90" s="167" t="s">
        <v>78</v>
      </c>
      <c r="M90" s="167" t="s">
        <v>78</v>
      </c>
      <c r="N90" s="172" t="s">
        <v>78</v>
      </c>
    </row>
    <row r="91" spans="1:14" ht="19.5" thickBot="1" x14ac:dyDescent="0.3">
      <c r="A91" s="67" t="str">
        <f t="shared" si="2"/>
        <v>UVC60160LBS 5,0x70 - LBS570R4,Rk</v>
      </c>
      <c r="B91" s="5" t="s">
        <v>25</v>
      </c>
      <c r="C91" s="68" t="s">
        <v>95</v>
      </c>
      <c r="D91" s="25" t="s">
        <v>41</v>
      </c>
      <c r="E91" s="327" t="s">
        <v>45</v>
      </c>
      <c r="F91" s="328"/>
      <c r="G91" s="75" t="s">
        <v>78</v>
      </c>
      <c r="H91" s="76" t="s">
        <v>78</v>
      </c>
      <c r="I91" s="75" t="s">
        <v>78</v>
      </c>
      <c r="J91" s="76" t="s">
        <v>78</v>
      </c>
      <c r="K91" s="171" t="s">
        <v>78</v>
      </c>
      <c r="L91" s="167" t="s">
        <v>78</v>
      </c>
      <c r="M91" s="167" t="s">
        <v>78</v>
      </c>
      <c r="N91" s="172" t="s">
        <v>78</v>
      </c>
    </row>
    <row r="92" spans="1:14" ht="19.5" thickBot="1" x14ac:dyDescent="0.3">
      <c r="A92" s="67" t="str">
        <f t="shared" si="2"/>
        <v>UVC60215LBS 5,0x50 - LBS550R1,Rk</v>
      </c>
      <c r="B92" s="24" t="s">
        <v>27</v>
      </c>
      <c r="C92" s="68" t="s">
        <v>95</v>
      </c>
      <c r="D92" s="7" t="s">
        <v>32</v>
      </c>
      <c r="E92" s="321" t="s">
        <v>35</v>
      </c>
      <c r="F92" s="322"/>
      <c r="G92" s="69" t="s">
        <v>78</v>
      </c>
      <c r="H92" s="70" t="s">
        <v>78</v>
      </c>
      <c r="I92" s="69" t="s">
        <v>78</v>
      </c>
      <c r="J92" s="70" t="s">
        <v>78</v>
      </c>
      <c r="K92" s="171" t="s">
        <v>78</v>
      </c>
      <c r="L92" s="167" t="s">
        <v>78</v>
      </c>
      <c r="M92" s="167" t="s">
        <v>78</v>
      </c>
      <c r="N92" s="172" t="s">
        <v>78</v>
      </c>
    </row>
    <row r="93" spans="1:14" ht="19.5" thickBot="1" x14ac:dyDescent="0.3">
      <c r="A93" s="67" t="str">
        <f t="shared" si="2"/>
        <v>UVC60215LBS 5,0x50 - LBS550R2,Rk</v>
      </c>
      <c r="B93" s="3" t="s">
        <v>27</v>
      </c>
      <c r="C93" s="68" t="s">
        <v>95</v>
      </c>
      <c r="D93" s="2" t="s">
        <v>32</v>
      </c>
      <c r="E93" s="323" t="s">
        <v>40</v>
      </c>
      <c r="F93" s="324"/>
      <c r="G93" s="71">
        <v>16.100000000000001</v>
      </c>
      <c r="H93" s="72">
        <v>16.100000000000001</v>
      </c>
      <c r="I93" s="73" t="s">
        <v>78</v>
      </c>
      <c r="J93" s="74" t="s">
        <v>78</v>
      </c>
      <c r="K93" s="171" t="s">
        <v>78</v>
      </c>
      <c r="L93" s="167" t="s">
        <v>78</v>
      </c>
      <c r="M93" s="167" t="s">
        <v>78</v>
      </c>
      <c r="N93" s="172" t="s">
        <v>78</v>
      </c>
    </row>
    <row r="94" spans="1:14" ht="19.5" thickBot="1" x14ac:dyDescent="0.3">
      <c r="A94" s="67" t="str">
        <f t="shared" si="2"/>
        <v>UVC60215LBS 5,0x50 - LBS550R3,Rk</v>
      </c>
      <c r="B94" s="3" t="s">
        <v>27</v>
      </c>
      <c r="C94" s="68" t="s">
        <v>95</v>
      </c>
      <c r="D94" s="2" t="s">
        <v>32</v>
      </c>
      <c r="E94" s="319" t="s">
        <v>43</v>
      </c>
      <c r="F94" s="320"/>
      <c r="G94" s="73" t="s">
        <v>78</v>
      </c>
      <c r="H94" s="74" t="s">
        <v>78</v>
      </c>
      <c r="I94" s="73" t="s">
        <v>78</v>
      </c>
      <c r="J94" s="74" t="s">
        <v>78</v>
      </c>
      <c r="K94" s="171" t="s">
        <v>78</v>
      </c>
      <c r="L94" s="167" t="s">
        <v>78</v>
      </c>
      <c r="M94" s="167" t="s">
        <v>78</v>
      </c>
      <c r="N94" s="172" t="s">
        <v>78</v>
      </c>
    </row>
    <row r="95" spans="1:14" ht="19.5" thickBot="1" x14ac:dyDescent="0.3">
      <c r="A95" s="67" t="str">
        <f t="shared" si="2"/>
        <v>UVC60215LBS 5,0x50 - LBS550R4,Rk</v>
      </c>
      <c r="B95" s="5" t="s">
        <v>27</v>
      </c>
      <c r="C95" s="68" t="s">
        <v>95</v>
      </c>
      <c r="D95" s="25" t="s">
        <v>32</v>
      </c>
      <c r="E95" s="327" t="s">
        <v>45</v>
      </c>
      <c r="F95" s="328"/>
      <c r="G95" s="75" t="s">
        <v>78</v>
      </c>
      <c r="H95" s="76" t="s">
        <v>78</v>
      </c>
      <c r="I95" s="75" t="s">
        <v>78</v>
      </c>
      <c r="J95" s="76" t="s">
        <v>78</v>
      </c>
      <c r="K95" s="171" t="s">
        <v>78</v>
      </c>
      <c r="L95" s="167" t="s">
        <v>78</v>
      </c>
      <c r="M95" s="167" t="s">
        <v>78</v>
      </c>
      <c r="N95" s="172" t="s">
        <v>78</v>
      </c>
    </row>
    <row r="96" spans="1:14" ht="19.5" thickBot="1" x14ac:dyDescent="0.3">
      <c r="A96" s="67" t="str">
        <f t="shared" si="2"/>
        <v>UVC60215LBS 5,0x60 - LBS560R1,Rk</v>
      </c>
      <c r="B96" s="24" t="s">
        <v>27</v>
      </c>
      <c r="C96" s="68" t="s">
        <v>95</v>
      </c>
      <c r="D96" s="7" t="s">
        <v>37</v>
      </c>
      <c r="E96" s="321" t="s">
        <v>35</v>
      </c>
      <c r="F96" s="322"/>
      <c r="G96" s="69" t="s">
        <v>78</v>
      </c>
      <c r="H96" s="70" t="s">
        <v>78</v>
      </c>
      <c r="I96" s="69" t="s">
        <v>78</v>
      </c>
      <c r="J96" s="70" t="s">
        <v>78</v>
      </c>
      <c r="K96" s="171" t="s">
        <v>78</v>
      </c>
      <c r="L96" s="167" t="s">
        <v>78</v>
      </c>
      <c r="M96" s="167" t="s">
        <v>78</v>
      </c>
      <c r="N96" s="172" t="s">
        <v>78</v>
      </c>
    </row>
    <row r="97" spans="1:14" ht="19.5" thickBot="1" x14ac:dyDescent="0.3">
      <c r="A97" s="67" t="str">
        <f t="shared" si="2"/>
        <v>UVC60215LBS 5,0x60 - LBS560R2,Rk</v>
      </c>
      <c r="B97" s="3" t="s">
        <v>27</v>
      </c>
      <c r="C97" s="68" t="s">
        <v>95</v>
      </c>
      <c r="D97" s="2" t="s">
        <v>37</v>
      </c>
      <c r="E97" s="323" t="s">
        <v>40</v>
      </c>
      <c r="F97" s="324"/>
      <c r="G97" s="71">
        <v>16.100000000000001</v>
      </c>
      <c r="H97" s="72">
        <v>16.100000000000001</v>
      </c>
      <c r="I97" s="73" t="s">
        <v>78</v>
      </c>
      <c r="J97" s="74" t="s">
        <v>78</v>
      </c>
      <c r="K97" s="171" t="s">
        <v>78</v>
      </c>
      <c r="L97" s="167" t="s">
        <v>78</v>
      </c>
      <c r="M97" s="167" t="s">
        <v>78</v>
      </c>
      <c r="N97" s="172" t="s">
        <v>78</v>
      </c>
    </row>
    <row r="98" spans="1:14" ht="19.5" thickBot="1" x14ac:dyDescent="0.3">
      <c r="A98" s="67" t="str">
        <f t="shared" si="2"/>
        <v>UVC60215LBS 5,0x60 - LBS560R3,Rk</v>
      </c>
      <c r="B98" s="3" t="s">
        <v>27</v>
      </c>
      <c r="C98" s="68" t="s">
        <v>95</v>
      </c>
      <c r="D98" s="2" t="s">
        <v>37</v>
      </c>
      <c r="E98" s="319" t="s">
        <v>43</v>
      </c>
      <c r="F98" s="320"/>
      <c r="G98" s="73" t="s">
        <v>78</v>
      </c>
      <c r="H98" s="74" t="s">
        <v>78</v>
      </c>
      <c r="I98" s="73" t="s">
        <v>78</v>
      </c>
      <c r="J98" s="74" t="s">
        <v>78</v>
      </c>
      <c r="K98" s="171" t="s">
        <v>78</v>
      </c>
      <c r="L98" s="167" t="s">
        <v>78</v>
      </c>
      <c r="M98" s="167" t="s">
        <v>78</v>
      </c>
      <c r="N98" s="172" t="s">
        <v>78</v>
      </c>
    </row>
    <row r="99" spans="1:14" ht="19.5" thickBot="1" x14ac:dyDescent="0.3">
      <c r="A99" s="67" t="str">
        <f t="shared" si="2"/>
        <v>UVC60215LBS 5,0x60 - LBS560R4,Rk</v>
      </c>
      <c r="B99" s="3" t="s">
        <v>27</v>
      </c>
      <c r="C99" s="68" t="s">
        <v>95</v>
      </c>
      <c r="D99" s="2" t="s">
        <v>37</v>
      </c>
      <c r="E99" s="323" t="s">
        <v>45</v>
      </c>
      <c r="F99" s="324"/>
      <c r="G99" s="75" t="s">
        <v>78</v>
      </c>
      <c r="H99" s="76" t="s">
        <v>78</v>
      </c>
      <c r="I99" s="75" t="s">
        <v>78</v>
      </c>
      <c r="J99" s="76" t="s">
        <v>78</v>
      </c>
      <c r="K99" s="171" t="s">
        <v>78</v>
      </c>
      <c r="L99" s="167" t="s">
        <v>78</v>
      </c>
      <c r="M99" s="167" t="s">
        <v>78</v>
      </c>
      <c r="N99" s="172" t="s">
        <v>78</v>
      </c>
    </row>
    <row r="100" spans="1:14" ht="19.5" thickBot="1" x14ac:dyDescent="0.3">
      <c r="A100" s="67" t="str">
        <f t="shared" si="2"/>
        <v>UVC60215LBS 5,0x70 - LBS570R1,Rk</v>
      </c>
      <c r="B100" s="7" t="s">
        <v>27</v>
      </c>
      <c r="C100" s="68" t="s">
        <v>95</v>
      </c>
      <c r="D100" s="7" t="s">
        <v>41</v>
      </c>
      <c r="E100" s="321" t="s">
        <v>35</v>
      </c>
      <c r="F100" s="322"/>
      <c r="G100" s="69" t="s">
        <v>78</v>
      </c>
      <c r="H100" s="70" t="s">
        <v>78</v>
      </c>
      <c r="I100" s="69" t="s">
        <v>78</v>
      </c>
      <c r="J100" s="70" t="s">
        <v>78</v>
      </c>
      <c r="K100" s="171" t="s">
        <v>78</v>
      </c>
      <c r="L100" s="167" t="s">
        <v>78</v>
      </c>
      <c r="M100" s="167" t="s">
        <v>78</v>
      </c>
      <c r="N100" s="172" t="s">
        <v>78</v>
      </c>
    </row>
    <row r="101" spans="1:14" ht="19.5" thickBot="1" x14ac:dyDescent="0.3">
      <c r="A101" s="67" t="str">
        <f t="shared" si="2"/>
        <v>UVC60215LBS 5,0x70 - LBS570R2,Rk</v>
      </c>
      <c r="B101" s="2" t="s">
        <v>27</v>
      </c>
      <c r="C101" s="68" t="s">
        <v>95</v>
      </c>
      <c r="D101" s="2" t="s">
        <v>41</v>
      </c>
      <c r="E101" s="323" t="s">
        <v>40</v>
      </c>
      <c r="F101" s="324"/>
      <c r="G101" s="71">
        <v>16.100000000000001</v>
      </c>
      <c r="H101" s="72">
        <v>16.100000000000001</v>
      </c>
      <c r="I101" s="73" t="s">
        <v>78</v>
      </c>
      <c r="J101" s="74" t="s">
        <v>78</v>
      </c>
      <c r="K101" s="171" t="s">
        <v>78</v>
      </c>
      <c r="L101" s="167" t="s">
        <v>78</v>
      </c>
      <c r="M101" s="167" t="s">
        <v>78</v>
      </c>
      <c r="N101" s="172" t="s">
        <v>78</v>
      </c>
    </row>
    <row r="102" spans="1:14" ht="19.5" thickBot="1" x14ac:dyDescent="0.3">
      <c r="A102" s="67" t="str">
        <f t="shared" si="2"/>
        <v>UVC60215LBS 5,0x70 - LBS570R3,Rk</v>
      </c>
      <c r="B102" s="2" t="s">
        <v>27</v>
      </c>
      <c r="C102" s="68" t="s">
        <v>95</v>
      </c>
      <c r="D102" s="2" t="s">
        <v>41</v>
      </c>
      <c r="E102" s="319" t="s">
        <v>43</v>
      </c>
      <c r="F102" s="320"/>
      <c r="G102" s="73" t="s">
        <v>78</v>
      </c>
      <c r="H102" s="74" t="s">
        <v>78</v>
      </c>
      <c r="I102" s="73" t="s">
        <v>78</v>
      </c>
      <c r="J102" s="74" t="s">
        <v>78</v>
      </c>
      <c r="K102" s="171" t="s">
        <v>78</v>
      </c>
      <c r="L102" s="167" t="s">
        <v>78</v>
      </c>
      <c r="M102" s="167" t="s">
        <v>78</v>
      </c>
      <c r="N102" s="172" t="s">
        <v>78</v>
      </c>
    </row>
    <row r="103" spans="1:14" ht="19.5" thickBot="1" x14ac:dyDescent="0.3">
      <c r="A103" s="67" t="str">
        <f t="shared" si="2"/>
        <v>UVC60215LBS 5,0x70 - LBS570R4,Rk</v>
      </c>
      <c r="B103" s="25" t="s">
        <v>27</v>
      </c>
      <c r="C103" s="68" t="s">
        <v>95</v>
      </c>
      <c r="D103" s="25" t="s">
        <v>41</v>
      </c>
      <c r="E103" s="327" t="s">
        <v>45</v>
      </c>
      <c r="F103" s="328"/>
      <c r="G103" s="75" t="s">
        <v>78</v>
      </c>
      <c r="H103" s="76" t="s">
        <v>78</v>
      </c>
      <c r="I103" s="75" t="s">
        <v>78</v>
      </c>
      <c r="J103" s="76" t="s">
        <v>78</v>
      </c>
      <c r="K103" s="173" t="s">
        <v>78</v>
      </c>
      <c r="L103" s="174" t="s">
        <v>78</v>
      </c>
      <c r="M103" s="174" t="s">
        <v>78</v>
      </c>
      <c r="N103" s="175" t="s">
        <v>78</v>
      </c>
    </row>
  </sheetData>
  <mergeCells count="101">
    <mergeCell ref="E99:F99"/>
    <mergeCell ref="E100:F100"/>
    <mergeCell ref="E101:F101"/>
    <mergeCell ref="E102:F102"/>
    <mergeCell ref="E103:F103"/>
    <mergeCell ref="E93:F93"/>
    <mergeCell ref="E94:F94"/>
    <mergeCell ref="E95:F95"/>
    <mergeCell ref="E96:F96"/>
    <mergeCell ref="E97:F97"/>
    <mergeCell ref="E98:F98"/>
    <mergeCell ref="E87:F87"/>
    <mergeCell ref="E88:F88"/>
    <mergeCell ref="E89:F89"/>
    <mergeCell ref="E90:F90"/>
    <mergeCell ref="E91:F91"/>
    <mergeCell ref="E92:F92"/>
    <mergeCell ref="E81:F81"/>
    <mergeCell ref="E82:F82"/>
    <mergeCell ref="E83:F83"/>
    <mergeCell ref="E84:F84"/>
    <mergeCell ref="E85:F85"/>
    <mergeCell ref="E86:F86"/>
    <mergeCell ref="E75:F75"/>
    <mergeCell ref="E76:F76"/>
    <mergeCell ref="E77:F77"/>
    <mergeCell ref="E78:F78"/>
    <mergeCell ref="E79:F79"/>
    <mergeCell ref="E80:F80"/>
    <mergeCell ref="E69:F69"/>
    <mergeCell ref="E70:F70"/>
    <mergeCell ref="E71:F71"/>
    <mergeCell ref="E72:F72"/>
    <mergeCell ref="E73:F73"/>
    <mergeCell ref="E74:F74"/>
    <mergeCell ref="E63:F63"/>
    <mergeCell ref="E64:F64"/>
    <mergeCell ref="E65:F65"/>
    <mergeCell ref="E66:F66"/>
    <mergeCell ref="E67:F67"/>
    <mergeCell ref="E68:F68"/>
    <mergeCell ref="E57:F57"/>
    <mergeCell ref="E58:F58"/>
    <mergeCell ref="E59:F59"/>
    <mergeCell ref="E60:F60"/>
    <mergeCell ref="E61:F61"/>
    <mergeCell ref="E62:F62"/>
    <mergeCell ref="E51:F51"/>
    <mergeCell ref="E52:F52"/>
    <mergeCell ref="E53:F53"/>
    <mergeCell ref="E54:F54"/>
    <mergeCell ref="E55:F55"/>
    <mergeCell ref="E56:F56"/>
    <mergeCell ref="E45:F45"/>
    <mergeCell ref="E46:F46"/>
    <mergeCell ref="E47:F47"/>
    <mergeCell ref="E48:F48"/>
    <mergeCell ref="E49:F49"/>
    <mergeCell ref="E50:F50"/>
    <mergeCell ref="E39:F39"/>
    <mergeCell ref="E40:F40"/>
    <mergeCell ref="E41:F41"/>
    <mergeCell ref="E42:F42"/>
    <mergeCell ref="E43:F43"/>
    <mergeCell ref="E44:F44"/>
    <mergeCell ref="E33:F33"/>
    <mergeCell ref="E34:F34"/>
    <mergeCell ref="E35:F35"/>
    <mergeCell ref="E36:F36"/>
    <mergeCell ref="E37:F37"/>
    <mergeCell ref="E38:F38"/>
    <mergeCell ref="E28:F28"/>
    <mergeCell ref="E29:F29"/>
    <mergeCell ref="E30:F30"/>
    <mergeCell ref="E31:F31"/>
    <mergeCell ref="Z31:Z32"/>
    <mergeCell ref="E32:F32"/>
    <mergeCell ref="E22:F22"/>
    <mergeCell ref="E23:F23"/>
    <mergeCell ref="E24:F24"/>
    <mergeCell ref="E25:F25"/>
    <mergeCell ref="E26:F26"/>
    <mergeCell ref="E27:F27"/>
    <mergeCell ref="E19:F19"/>
    <mergeCell ref="E20:F20"/>
    <mergeCell ref="E21:F21"/>
    <mergeCell ref="E10:F10"/>
    <mergeCell ref="E11:F11"/>
    <mergeCell ref="E12:F12"/>
    <mergeCell ref="E13:F13"/>
    <mergeCell ref="E14:F14"/>
    <mergeCell ref="E15:F15"/>
    <mergeCell ref="G2:H2"/>
    <mergeCell ref="I2:J2"/>
    <mergeCell ref="K2:L2"/>
    <mergeCell ref="M2:N2"/>
    <mergeCell ref="E8:F8"/>
    <mergeCell ref="E9:F9"/>
    <mergeCell ref="E16:F16"/>
    <mergeCell ref="E17:F17"/>
    <mergeCell ref="E18:F1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
              <controlPr defaultSize="0" print="0" autoLine="0" autoPict="0" macro="[0]!Foglio7.Nascondi">
                <anchor moveWithCells="1" sizeWithCells="1">
                  <from>
                    <xdr:col>14</xdr:col>
                    <xdr:colOff>723900</xdr:colOff>
                    <xdr:row>0</xdr:row>
                    <xdr:rowOff>171450</xdr:rowOff>
                  </from>
                  <to>
                    <xdr:col>16</xdr:col>
                    <xdr:colOff>742950</xdr:colOff>
                    <xdr:row>3</xdr:row>
                    <xdr:rowOff>76200</xdr:rowOff>
                  </to>
                </anchor>
              </controlPr>
            </control>
          </mc:Choice>
        </mc:AlternateContent>
        <mc:AlternateContent xmlns:mc="http://schemas.openxmlformats.org/markup-compatibility/2006">
          <mc:Choice Requires="x14">
            <control shapeId="12290" r:id="rId5" name="Button 2">
              <controlPr defaultSize="0" print="0" autoLine="0" autoPict="0" macro="[0]!Foglio7.Scopri">
                <anchor moveWithCells="1" sizeWithCells="1">
                  <from>
                    <xdr:col>14</xdr:col>
                    <xdr:colOff>695325</xdr:colOff>
                    <xdr:row>4</xdr:row>
                    <xdr:rowOff>85725</xdr:rowOff>
                  </from>
                  <to>
                    <xdr:col>16</xdr:col>
                    <xdr:colOff>742950</xdr:colOff>
                    <xdr:row>5</xdr:row>
                    <xdr:rowOff>314325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d2378695-bf9a-41f5-abac-4c997d85a59d">
      <UserInfo>
        <DisplayName/>
        <AccountId xsi:nil="true"/>
        <AccountType/>
      </UserInfo>
    </SharedWithUsers>
    <_dlc_DocId xmlns="d2378695-bf9a-41f5-abac-4c997d85a59d">NKYR4AWDHMV7-1542072115-64632</_dlc_DocId>
    <_dlc_DocIdUrl xmlns="d2378695-bf9a-41f5-abac-4c997d85a59d">
      <Url>https://rothoblaas.sharepoint.com/sites/rb-us/_layouts/15/DocIdRedir.aspx?ID=NKYR4AWDHMV7-1542072115-64632</Url>
      <Description>NKYR4AWDHMV7-1542072115-64632</Description>
    </_dlc_DocIdUrl>
    <lcf76f155ced4ddcb4097134ff3c332f xmlns="1b0b60c9-b91b-4cf5-9d85-2fe57728c0fb">
      <Terms xmlns="http://schemas.microsoft.com/office/infopath/2007/PartnerControls"/>
    </lcf76f155ced4ddcb4097134ff3c332f>
    <TaxCatchAll xmlns="d2378695-bf9a-41f5-abac-4c997d85a59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623A61CA2626B4BBAE534155A8BCC61" ma:contentTypeVersion="19" ma:contentTypeDescription="Create a new document." ma:contentTypeScope="" ma:versionID="daea815a8f7375dd1cd20d24bddd3ebe">
  <xsd:schema xmlns:xsd="http://www.w3.org/2001/XMLSchema" xmlns:xs="http://www.w3.org/2001/XMLSchema" xmlns:p="http://schemas.microsoft.com/office/2006/metadata/properties" xmlns:ns2="1b0b60c9-b91b-4cf5-9d85-2fe57728c0fb" xmlns:ns3="d2378695-bf9a-41f5-abac-4c997d85a59d" targetNamespace="http://schemas.microsoft.com/office/2006/metadata/properties" ma:root="true" ma:fieldsID="0aeadc6275ca347bab17592778e7c2f1" ns2:_="" ns3:_="">
    <xsd:import namespace="1b0b60c9-b91b-4cf5-9d85-2fe57728c0fb"/>
    <xsd:import namespace="d2378695-bf9a-41f5-abac-4c997d85a59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3:_dlc_DocId" minOccurs="0"/>
                <xsd:element ref="ns3:_dlc_DocIdUrl" minOccurs="0"/>
                <xsd:element ref="ns3:_dlc_DocIdPersistId"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0b60c9-b91b-4cf5-9d85-2fe57728c0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9108ccb5-cea6-4716-bdbd-2f7028708f0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378695-bf9a-41f5-abac-4c997d85a59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Salva ID in modo permanente" ma:description="Mantenere ID all'aggiunta." ma:hidden="true" ma:internalName="_dlc_DocIdPersistId" ma:readOnly="true">
      <xsd:simpleType>
        <xsd:restriction base="dms:Boolean"/>
      </xsd:simpleType>
    </xsd:element>
    <xsd:element name="TaxCatchAll" ma:index="26" nillable="true" ma:displayName="Taxonomy Catch All Column" ma:hidden="true" ma:list="{f02198ae-49cd-4dcc-aed3-c5b404775f3a}" ma:internalName="TaxCatchAll" ma:showField="CatchAllData" ma:web="d2378695-bf9a-41f5-abac-4c997d85a5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C877CF-5027-47E8-8892-0929362F31AF}">
  <ds:schemaRefs>
    <ds:schemaRef ds:uri="http://schemas.microsoft.com/office/2006/metadata/properties"/>
    <ds:schemaRef ds:uri="http://schemas.microsoft.com/office/infopath/2007/PartnerControls"/>
    <ds:schemaRef ds:uri="d2378695-bf9a-41f5-abac-4c997d85a59d"/>
    <ds:schemaRef ds:uri="1b0b60c9-b91b-4cf5-9d85-2fe57728c0fb"/>
  </ds:schemaRefs>
</ds:datastoreItem>
</file>

<file path=customXml/itemProps2.xml><?xml version="1.0" encoding="utf-8"?>
<ds:datastoreItem xmlns:ds="http://schemas.openxmlformats.org/officeDocument/2006/customXml" ds:itemID="{A212DABE-5880-4828-8F62-5772478D21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0b60c9-b91b-4cf5-9d85-2fe57728c0fb"/>
    <ds:schemaRef ds:uri="d2378695-bf9a-41f5-abac-4c997d85a5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19263AF-C3B2-4945-B900-B73425176E06}">
  <ds:schemaRefs>
    <ds:schemaRef ds:uri="http://schemas.microsoft.com/sharepoint/events"/>
  </ds:schemaRefs>
</ds:datastoreItem>
</file>

<file path=customXml/itemProps4.xml><?xml version="1.0" encoding="utf-8"?>
<ds:datastoreItem xmlns:ds="http://schemas.openxmlformats.org/officeDocument/2006/customXml" ds:itemID="{B48F1DAB-2D8F-4463-A448-6DD88BBA2EE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Fogli di lavoro</vt:lpstr>
      </vt:variant>
      <vt:variant>
        <vt:i4>4</vt:i4>
      </vt:variant>
      <vt:variant>
        <vt:lpstr>Intervalli denominati</vt:lpstr>
      </vt:variant>
      <vt:variant>
        <vt:i4>16</vt:i4>
      </vt:variant>
    </vt:vector>
  </HeadingPairs>
  <TitlesOfParts>
    <vt:vector size="20" baseType="lpstr">
      <vt:lpstr>UV_it</vt:lpstr>
      <vt:lpstr>tabelle scheda tecnica </vt:lpstr>
      <vt:lpstr>UV_en</vt:lpstr>
      <vt:lpstr>tabelle scheda tecnica_en</vt:lpstr>
      <vt:lpstr>UV_en!Applicazione</vt:lpstr>
      <vt:lpstr>Applicazione</vt:lpstr>
      <vt:lpstr>UV_en!Area_stampa</vt:lpstr>
      <vt:lpstr>UV_it!Area_stampa</vt:lpstr>
      <vt:lpstr>UV_en!chiodaturaUVC</vt:lpstr>
      <vt:lpstr>chiodaturaUVC</vt:lpstr>
      <vt:lpstr>UV_en!chiodaturaUVT</vt:lpstr>
      <vt:lpstr>chiodaturaUVT</vt:lpstr>
      <vt:lpstr>UV_en!UVC</vt:lpstr>
      <vt:lpstr>UVC</vt:lpstr>
      <vt:lpstr>UV_en!UVT</vt:lpstr>
      <vt:lpstr>UVT</vt:lpstr>
      <vt:lpstr>UV_en!vitiUVTaltri</vt:lpstr>
      <vt:lpstr>vitiUVTaltri</vt:lpstr>
      <vt:lpstr>UV_en!vitiUVTpiccolo</vt:lpstr>
      <vt:lpstr>vitiUVTpiccolo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Simone Vanzo</dc:creator>
  <cp:keywords/>
  <dc:description/>
  <cp:lastModifiedBy>Alvise Ramazzini</cp:lastModifiedBy>
  <cp:revision/>
  <dcterms:created xsi:type="dcterms:W3CDTF">2009-04-28T06:27:29Z</dcterms:created>
  <dcterms:modified xsi:type="dcterms:W3CDTF">2026-03-26T13:15:20Z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0x0101009623A61CA2626B4BBAE534155A8BCC61</vt:lpwstr>
  </property>
  <property fmtid="{D5CDD505-2E9C-101B-9397-08002B2CF9AE}" pid="3" name="_dlc_DocIdItemGuid">
    <vt:lpwstr>c167e74d-e326-42aa-8698-ec0c4df755e8</vt:lpwstr>
  </property>
  <property fmtid="{D5CDD505-2E9C-101B-9397-08002B2CF9AE}" pid="4" name="MediaServiceImageTags">
    <vt:lpwstr/>
  </property>
</Properties>
</file>